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305" windowHeight="4035" activeTab="0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  <sheet name="fiscal analysis" sheetId="6" r:id="rId6"/>
  </sheets>
  <definedNames/>
  <calcPr fullCalcOnLoad="1"/>
</workbook>
</file>

<file path=xl/sharedStrings.xml><?xml version="1.0" encoding="utf-8"?>
<sst xmlns="http://schemas.openxmlformats.org/spreadsheetml/2006/main" count="216" uniqueCount="126">
  <si>
    <t>ESA sum</t>
  </si>
  <si>
    <t>Membership</t>
  </si>
  <si>
    <t>Year</t>
  </si>
  <si>
    <t>CPI</t>
  </si>
  <si>
    <t>Sum</t>
  </si>
  <si>
    <t>1998 $$</t>
  </si>
  <si>
    <t>Relative</t>
  </si>
  <si>
    <t>Absolute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</si>
  <si>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</si>
  <si>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</si>
  <si>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</si>
  <si>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</si>
  <si>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</si>
  <si>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</si>
  <si>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</si>
  <si>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</si>
  <si>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</si>
  <si>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</si>
  <si>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</si>
  <si>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</si>
  <si>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</si>
  <si>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</si>
  <si>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</si>
  <si>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</si>
  <si>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</si>
  <si>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</si>
  <si>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</si>
  <si>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</si>
  <si>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PDF</t>
  </si>
  <si>
    <t>(reg+family)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</si>
  <si>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</si>
  <si>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</si>
  <si>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</si>
  <si>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</si>
  <si>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</si>
  <si>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</si>
  <si>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</si>
  <si>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</si>
  <si>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</si>
  <si>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</si>
  <si>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</si>
  <si>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</si>
  <si>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</si>
  <si>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</si>
  <si>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Annual % change</t>
  </si>
  <si>
    <t>Deviations from 1994 numbers</t>
  </si>
  <si>
    <t>FlaENT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</si>
  <si>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</si>
  <si>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</si>
  <si>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</si>
  <si>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</si>
  <si>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</si>
  <si>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</si>
  <si>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</si>
  <si>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</si>
  <si>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</si>
  <si>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$$ from instit. subscripts</t>
  </si>
  <si>
    <t>No.</t>
  </si>
  <si>
    <t>start-up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</si>
  <si>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</si>
  <si>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</si>
  <si>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</si>
  <si>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</si>
  <si>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</si>
  <si>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</si>
  <si>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</si>
  <si>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</si>
  <si>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</si>
  <si>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</si>
  <si>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and notes</t>
  </si>
  <si>
    <t>cum. art</t>
  </si>
  <si>
    <t>est</t>
  </si>
  <si>
    <t>raw $$</t>
  </si>
  <si>
    <t>Inst. Subscrp</t>
  </si>
  <si>
    <t>Fiscal impact of open access: 1994-2004</t>
  </si>
  <si>
    <t>Net</t>
  </si>
  <si>
    <t>ESA membership</t>
  </si>
  <si>
    <t>Student</t>
  </si>
  <si>
    <t>Corporate</t>
  </si>
  <si>
    <t>Sustaining</t>
  </si>
  <si>
    <t>Full</t>
  </si>
  <si>
    <t>Membership and membership revenues: 1998 to 2004</t>
  </si>
  <si>
    <t>Students</t>
  </si>
  <si>
    <t>Income</t>
  </si>
  <si>
    <t xml:space="preserve">  Library subscriptions</t>
  </si>
  <si>
    <t xml:space="preserve">  Allocations from dues</t>
  </si>
  <si>
    <t xml:space="preserve">  Annual meeting</t>
  </si>
  <si>
    <t>italics=estimate</t>
  </si>
  <si>
    <t xml:space="preserve">      Total</t>
  </si>
  <si>
    <t>Average</t>
  </si>
  <si>
    <t>Expenses</t>
  </si>
  <si>
    <t xml:space="preserve">  PP, print edition</t>
  </si>
  <si>
    <t xml:space="preserve">  PP, electronic edition</t>
  </si>
  <si>
    <t xml:space="preserve">  Spanish resumes</t>
  </si>
  <si>
    <t xml:space="preserve">  Editor's salary</t>
  </si>
  <si>
    <t xml:space="preserve">  Half of Business Manager's salary</t>
  </si>
  <si>
    <t xml:space="preserve">  Other</t>
  </si>
  <si>
    <t xml:space="preserve">  Paper edition</t>
  </si>
  <si>
    <t xml:space="preserve">  Electronic edition </t>
  </si>
  <si>
    <t xml:space="preserve">  Editor</t>
  </si>
  <si>
    <t xml:space="preserve">  Business manager (1/2)</t>
  </si>
  <si>
    <t>FES$$%</t>
  </si>
  <si>
    <t>FE$$%</t>
  </si>
  <si>
    <t>ESA</t>
  </si>
  <si>
    <t>journals</t>
  </si>
  <si>
    <t>ESA %</t>
  </si>
  <si>
    <t>FE $5</t>
  </si>
  <si>
    <t>allocation</t>
  </si>
  <si>
    <t>raw</t>
  </si>
  <si>
    <t>1994$$</t>
  </si>
  <si>
    <t>1994$$%</t>
  </si>
  <si>
    <t>actual pages 1994-2005=</t>
  </si>
  <si>
    <t>coll. IFWA</t>
  </si>
  <si>
    <t>Income from Florida Entomologist</t>
  </si>
  <si>
    <t>Income from dues</t>
  </si>
  <si>
    <t>FES prinicpal income</t>
  </si>
  <si>
    <r>
      <t xml:space="preserve">Fiscal analysis of publication of </t>
    </r>
    <r>
      <rPr>
        <i/>
        <sz val="14"/>
        <rFont val="Arial"/>
        <family val="2"/>
      </rPr>
      <t>Florida Entomologist</t>
    </r>
    <r>
      <rPr>
        <sz val="14"/>
        <rFont val="Arial"/>
        <family val="2"/>
      </rPr>
      <t>: 2003-2005</t>
    </r>
  </si>
  <si>
    <t xml:space="preserve">                                      </t>
  </si>
  <si>
    <t>pp</t>
  </si>
  <si>
    <t>size of  issue vs. net income</t>
  </si>
  <si>
    <t>articles &amp;</t>
  </si>
  <si>
    <t>sci notes</t>
  </si>
  <si>
    <t>net</t>
  </si>
  <si>
    <t>corrected</t>
  </si>
  <si>
    <t xml:space="preserve">  IFWA fees</t>
  </si>
  <si>
    <t xml:space="preserve">  Other author charges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</si>
</sst>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00"/>
  </numFmts>
  <fonts count="42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"/>
      <name val="Arial"/>
      <family val="0"/>
    </font>
    <font>
      <sz val="9.25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5.75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5.75"/>
      <name val="Arial"/>
      <family val="2"/>
    </font>
    <font>
      <sz val="14.75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b/>
      <sz val="9.25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ont="1" applyAlignment="1">
      <alignment horizontal="right"/>
    </xf>
    <xf numFmtId="1" fontId="27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91"/>
          <c:h val="0.9867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Subscr'!$C$19:$C$30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Subscr'!$F$19:$F$30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Subscr'!$J$19:$J$28</c:f>
              <c:numCache/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At val="-40"/>
        <c:auto val="1"/>
        <c:lblOffset val="100"/>
        <c:noMultiLvlLbl val="0"/>
      </c:catAx>
      <c:valAx>
        <c:axId val="15571021"/>
        <c:scaling>
          <c:orientation val="minMax"/>
          <c:max val="1.12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935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95"/>
          <c:y val="0.59"/>
          <c:w val="0.431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analysis'!$A$11:$A$15</c:f>
              <c:strCache/>
            </c:strRef>
          </c:cat>
          <c:val>
            <c:numRef>
              <c:f>'fiscal analysis'!$F$11:$F$15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analysis'!$A$33:$A$36</c:f>
              <c:strCache/>
            </c:strRef>
          </c:cat>
          <c:val>
            <c:numRef>
              <c:f>'fiscal analysis'!$F$33:$F$36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8"/>
          <c:w val="0.843"/>
          <c:h val="0.90375"/>
        </c:manualLayout>
      </c:layout>
      <c:barChart>
        <c:barDir val="col"/>
        <c:grouping val="stacked"/>
        <c:varyColors val="0"/>
        <c:ser>
          <c:idx val="1"/>
          <c:order val="0"/>
          <c:tx>
            <c:v>dues from members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analysis'!$B$40:$D$40</c:f>
              <c:numCache/>
            </c:numRef>
          </c:val>
        </c:ser>
        <c:ser>
          <c:idx val="2"/>
          <c:order val="1"/>
          <c:tx>
            <c:v>Florida Entomologist</c:v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analysis'!$B$41:$D$41</c:f>
              <c:numCache/>
            </c:numRef>
          </c:val>
        </c:ser>
        <c:overlap val="100"/>
        <c:gapWidth val="100"/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18321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13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9"/>
          <c:w val="0.87375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analysis'!$C$63:$C$70</c:f>
              <c:numCache/>
            </c:numRef>
          </c:yVal>
          <c:smooth val="0"/>
        </c:ser>
        <c:axId val="7670640"/>
        <c:axId val="1926897"/>
      </c:scatterChart>
      <c:valAx>
        <c:axId val="767064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6897"/>
        <c:crosses val="autoZero"/>
        <c:crossBetween val="midCat"/>
        <c:dispUnits/>
      </c:valAx>
      <c:valAx>
        <c:axId val="1926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0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7375"/>
          <c:w val="0.874"/>
          <c:h val="0.7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analysis'!$D$63:$D$70</c:f>
              <c:numCache/>
            </c:numRef>
          </c:yVal>
          <c:smooth val="0"/>
        </c:ser>
        <c:axId val="17342074"/>
        <c:axId val="21860939"/>
      </c:scatterChart>
      <c:valAx>
        <c:axId val="17342074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crossBetween val="midCat"/>
        <c:dispUnits/>
      </c:valAx>
      <c:valAx>
        <c:axId val="2186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17342074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7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Subscr'!$B$19:$B$30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Subscr'!$G$19:$G$30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Subscr'!$I$19:$I$28</c:f>
              <c:numCache/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93159"/>
        <c:crossesAt val="-40"/>
        <c:auto val="1"/>
        <c:lblOffset val="100"/>
        <c:noMultiLvlLbl val="0"/>
      </c:catAx>
      <c:valAx>
        <c:axId val="53293159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146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175"/>
          <c:y val="0.63575"/>
          <c:w val="0.42175"/>
          <c:h val="0.2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035"/>
          <c:w val="0.86125"/>
          <c:h val="0.985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fees'!$J$5:$J$16</c:f>
              <c:numCache/>
            </c:numRef>
          </c:cat>
          <c:val>
            <c:numRef>
              <c:f>'IFWA fees'!$M$5:$M$16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numRef>
              <c:f>'IFWA fees'!$J$5:$J$16</c:f>
              <c:numCache/>
            </c:numRef>
          </c:cat>
          <c:val>
            <c:numRef>
              <c:f>'IFWA fees'!$P$5:$P$16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fees'!$J$5:$J$16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100"/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0855"/>
          <c:w val="0.3755"/>
          <c:h val="0.2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9235579"/>
        <c:crossesAt val="-40"/>
        <c:auto val="1"/>
        <c:lblOffset val="100"/>
        <c:noMultiLvlLbl val="0"/>
      </c:catAx>
      <c:valAx>
        <c:axId val="19235579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1789610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75"/>
          <c:w val="0.91775"/>
          <c:h val="0.934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Members!$F$21:$F$28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4"/>
          <c:order val="2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Members!$M$21:$M$28</c:f>
              <c:numCache/>
            </c:numRef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90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95"/>
          <c:w val="0.93275"/>
          <c:h val="0.921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Members!$F$21:$F$28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Members!$P$11:$P$18</c:f>
              <c:numCache/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Amount published (pages)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1566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WebUse!$H$4:$H$15</c:f>
              <c:numCache/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WebUse!$G$4:$G$15</c:f>
              <c:numCache/>
            </c:numRef>
          </c:val>
          <c:smooth val="0"/>
        </c:ser>
        <c:marker val="1"/>
        <c:axId val="55735996"/>
        <c:axId val="31861917"/>
      </c:lineChart>
      <c:date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auto val="0"/>
        <c:noMultiLvlLbl val="0"/>
      </c:dateAx>
      <c:valAx>
        <c:axId val="318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35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0.0185</cdr:y>
    </cdr:from>
    <cdr:to>
      <cdr:x>0.18275</cdr:x>
      <cdr:y>0.118</cdr:y>
    </cdr:to>
    <cdr:sp>
      <cdr:nvSpPr>
        <cdr:cNvPr id="1" name="TextBox 2"/>
        <cdr:cNvSpPr txBox="1">
          <a:spLocks noChangeArrowheads="1"/>
        </cdr:cNvSpPr>
      </cdr:nvSpPr>
      <cdr:spPr>
        <a:xfrm>
          <a:off x="74295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0.536</cdr:y>
    </cdr:from>
    <cdr:to>
      <cdr:x>0.306</cdr:x>
      <cdr:y>0.6355</cdr:y>
    </cdr:to>
    <cdr:sp>
      <cdr:nvSpPr>
        <cdr:cNvPr id="2" name="TextBox 3"/>
        <cdr:cNvSpPr txBox="1">
          <a:spLocks noChangeArrowheads="1"/>
        </cdr:cNvSpPr>
      </cdr:nvSpPr>
      <cdr:spPr>
        <a:xfrm>
          <a:off x="1304925" y="11715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0.35075</cdr:y>
    </cdr:from>
    <cdr:to>
      <cdr:x>0.28025</cdr:x>
      <cdr:y>0.45475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7715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0.545</cdr:y>
    </cdr:from>
    <cdr:to>
      <cdr:x>0.1835</cdr:x>
      <cdr:y>0.6445</cdr:y>
    </cdr:to>
    <cdr:sp>
      <cdr:nvSpPr>
        <cdr:cNvPr id="4" name="TextBox 5"/>
        <cdr:cNvSpPr txBox="1">
          <a:spLocks noChangeArrowheads="1"/>
        </cdr:cNvSpPr>
      </cdr:nvSpPr>
      <cdr:spPr>
        <a:xfrm>
          <a:off x="752475" y="1190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0.482</cdr:y>
    </cdr:from>
    <cdr:to>
      <cdr:x>0.7005</cdr:x>
      <cdr:y>0.573</cdr:y>
    </cdr:to>
    <cdr:sp>
      <cdr:nvSpPr>
        <cdr:cNvPr id="5" name="TextBox 6"/>
        <cdr:cNvSpPr txBox="1">
          <a:spLocks noChangeArrowheads="1"/>
        </cdr:cNvSpPr>
      </cdr:nvSpPr>
      <cdr:spPr>
        <a:xfrm>
          <a:off x="3086100" y="10572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0.6975</cdr:y>
    </cdr:from>
    <cdr:to>
      <cdr:x>0.72725</cdr:x>
      <cdr:y>0.7885</cdr:y>
    </cdr:to>
    <cdr:sp>
      <cdr:nvSpPr>
        <cdr:cNvPr id="6" name="TextBox 7"/>
        <cdr:cNvSpPr txBox="1">
          <a:spLocks noChangeArrowheads="1"/>
        </cdr:cNvSpPr>
      </cdr:nvSpPr>
      <cdr:spPr>
        <a:xfrm>
          <a:off x="3209925" y="15335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0.77125</cdr:y>
    </cdr:from>
    <cdr:to>
      <cdr:x>0.67275</cdr:x>
      <cdr:y>0.86225</cdr:y>
    </cdr:to>
    <cdr:sp>
      <cdr:nvSpPr>
        <cdr:cNvPr id="7" name="TextBox 8"/>
        <cdr:cNvSpPr txBox="1">
          <a:spLocks noChangeArrowheads="1"/>
        </cdr:cNvSpPr>
      </cdr:nvSpPr>
      <cdr:spPr>
        <a:xfrm>
          <a:off x="2962275" y="1695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0.5975</cdr:y>
    </cdr:from>
    <cdr:to>
      <cdr:x>0.71575</cdr:x>
      <cdr:y>0.6885</cdr:y>
    </cdr:to>
    <cdr:sp>
      <cdr:nvSpPr>
        <cdr:cNvPr id="8" name="TextBox 9"/>
        <cdr:cNvSpPr txBox="1">
          <a:spLocks noChangeArrowheads="1"/>
        </cdr:cNvSpPr>
      </cdr:nvSpPr>
      <cdr:spPr>
        <a:xfrm>
          <a:off x="3162300" y="1314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0.754</cdr:y>
    </cdr:from>
    <cdr:to>
      <cdr:x>0.4975</cdr:x>
      <cdr:y>0.84925</cdr:y>
    </cdr:to>
    <cdr:sp>
      <cdr:nvSpPr>
        <cdr:cNvPr id="9" name="TextBox 10"/>
        <cdr:cNvSpPr txBox="1">
          <a:spLocks noChangeArrowheads="1"/>
        </cdr:cNvSpPr>
      </cdr:nvSpPr>
      <cdr:spPr>
        <a:xfrm>
          <a:off x="2171700" y="165735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</cdr:x>
      <cdr:y>0.57875</cdr:y>
    </cdr:from>
    <cdr:to>
      <cdr:x>0.60475</cdr:x>
      <cdr:y>0.66975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657475" y="12668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0.3065</cdr:y>
    </cdr:from>
    <cdr:to>
      <cdr:x>0.4725</cdr:x>
      <cdr:y>0.4105</cdr:y>
    </cdr:to>
    <cdr:sp>
      <cdr:nvSpPr>
        <cdr:cNvPr id="11" name="TextBox 14"/>
        <cdr:cNvSpPr txBox="1">
          <a:spLocks noChangeArrowheads="1"/>
        </cdr:cNvSpPr>
      </cdr:nvSpPr>
      <cdr:spPr>
        <a:xfrm>
          <a:off x="2057400" y="6667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0.514</cdr:y>
    </cdr:from>
    <cdr:to>
      <cdr:x>0.38</cdr:x>
      <cdr:y>0.6005</cdr:y>
    </cdr:to>
    <cdr:sp>
      <cdr:nvSpPr>
        <cdr:cNvPr id="12" name="TextBox 15"/>
        <cdr:cNvSpPr txBox="1">
          <a:spLocks noChangeArrowheads="1"/>
        </cdr:cNvSpPr>
      </cdr:nvSpPr>
      <cdr:spPr>
        <a:xfrm>
          <a:off x="647700" y="1123950"/>
          <a:ext cx="10668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Library subscriptions</a:t>
          </a:r>
        </a:p>
      </cdr:txBody>
    </cdr:sp>
  </cdr:relSizeAnchor>
  <cdr:relSizeAnchor xmlns:cdr="http://schemas.openxmlformats.org/drawingml/2006/chartDrawing">
    <cdr:from>
      <cdr:x>0.12375</cdr:x>
      <cdr:y>0.20325</cdr:y>
    </cdr:from>
    <cdr:to>
      <cdr:x>0.91475</cdr:x>
      <cdr:y>0.20325</cdr:y>
    </cdr:to>
    <cdr:sp>
      <cdr:nvSpPr>
        <cdr:cNvPr id="13" name="Line 16"/>
        <cdr:cNvSpPr>
          <a:spLocks/>
        </cdr:cNvSpPr>
      </cdr:nvSpPr>
      <cdr:spPr>
        <a:xfrm>
          <a:off x="552450" y="438150"/>
          <a:ext cx="3581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0.07375</cdr:y>
    </cdr:from>
    <cdr:to>
      <cdr:x>0.634</cdr:x>
      <cdr:y>0.86175</cdr:y>
    </cdr:to>
    <cdr:sp>
      <cdr:nvSpPr>
        <cdr:cNvPr id="1" name="Line 1"/>
        <cdr:cNvSpPr>
          <a:spLocks/>
        </cdr:cNvSpPr>
      </cdr:nvSpPr>
      <cdr:spPr>
        <a:xfrm>
          <a:off x="2952750" y="209550"/>
          <a:ext cx="9525" cy="2305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0.141</cdr:y>
    </cdr:from>
    <cdr:to>
      <cdr:x>0.58225</cdr:x>
      <cdr:y>0.21275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9575"/>
          <a:ext cx="1190625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IFWA fees</a:t>
          </a:r>
        </a:p>
      </cdr:txBody>
    </cdr:sp>
  </cdr:relSizeAnchor>
  <cdr:relSizeAnchor xmlns:cdr="http://schemas.openxmlformats.org/drawingml/2006/chartDrawing">
    <cdr:from>
      <cdr:x>0.74475</cdr:x>
      <cdr:y>0.114</cdr:y>
    </cdr:from>
    <cdr:to>
      <cdr:x>0.8995</cdr:x>
      <cdr:y>0.23125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23850"/>
          <a:ext cx="723900" cy="342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IFWA fees
collected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314325</xdr:colOff>
      <xdr:row>7</xdr:row>
      <xdr:rowOff>123825</xdr:rowOff>
    </xdr:from>
    <xdr:ext cx="895350" cy="190500"/>
    <xdr:sp>
      <xdr:nvSpPr>
        <xdr:cNvPr id="2" name="TextBox 4"/>
        <xdr:cNvSpPr txBox="1">
          <a:spLocks noChangeArrowheads="1"/>
        </xdr:cNvSpPr>
      </xdr:nvSpPr>
      <xdr:spPr>
        <a:xfrm>
          <a:off x="4552950" y="1257300"/>
          <a:ext cx="895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pre-fee average</a:t>
          </a:r>
        </a:p>
      </xdr:txBody>
    </xdr:sp>
    <xdr:clientData/>
  </xdr:oneCellAnchor>
  <xdr:twoCellAnchor>
    <xdr:from>
      <xdr:col>7</xdr:col>
      <xdr:colOff>495300</xdr:colOff>
      <xdr:row>8</xdr:row>
      <xdr:rowOff>152400</xdr:rowOff>
    </xdr:from>
    <xdr:to>
      <xdr:col>7</xdr:col>
      <xdr:colOff>495300</xdr:colOff>
      <xdr:row>10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733925" y="1447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13</xdr:col>
      <xdr:colOff>314325</xdr:colOff>
      <xdr:row>10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4419600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13</xdr:col>
      <xdr:colOff>419100</xdr:colOff>
      <xdr:row>36</xdr:row>
      <xdr:rowOff>0</xdr:rowOff>
    </xdr:to>
    <xdr:graphicFrame>
      <xdr:nvGraphicFramePr>
        <xdr:cNvPr id="5" name="Chart 6"/>
        <xdr:cNvGraphicFramePr/>
      </xdr:nvGraphicFramePr>
      <xdr:xfrm>
        <a:off x="3629025" y="3724275"/>
        <a:ext cx="46863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19050</xdr:rowOff>
    </xdr:from>
    <xdr:to>
      <xdr:col>13</xdr:col>
      <xdr:colOff>323850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5381625" y="1228725"/>
        <a:ext cx="376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13</xdr:col>
      <xdr:colOff>304800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286375" y="5095875"/>
        <a:ext cx="38385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57150</xdr:rowOff>
    </xdr:from>
    <xdr:to>
      <xdr:col>4</xdr:col>
      <xdr:colOff>552450</xdr:colOff>
      <xdr:row>58</xdr:row>
      <xdr:rowOff>9525</xdr:rowOff>
    </xdr:to>
    <xdr:graphicFrame>
      <xdr:nvGraphicFramePr>
        <xdr:cNvPr id="3" name="Chart 8"/>
        <xdr:cNvGraphicFramePr/>
      </xdr:nvGraphicFramePr>
      <xdr:xfrm>
        <a:off x="142875" y="7419975"/>
        <a:ext cx="41052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56</xdr:row>
      <xdr:rowOff>152400</xdr:rowOff>
    </xdr:from>
    <xdr:to>
      <xdr:col>12</xdr:col>
      <xdr:colOff>304800</xdr:colOff>
      <xdr:row>72</xdr:row>
      <xdr:rowOff>114300</xdr:rowOff>
    </xdr:to>
    <xdr:graphicFrame>
      <xdr:nvGraphicFramePr>
        <xdr:cNvPr id="4" name="Chart 9"/>
        <xdr:cNvGraphicFramePr/>
      </xdr:nvGraphicFramePr>
      <xdr:xfrm>
        <a:off x="4010025" y="929640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73</xdr:row>
      <xdr:rowOff>0</xdr:rowOff>
    </xdr:from>
    <xdr:to>
      <xdr:col>12</xdr:col>
      <xdr:colOff>314325</xdr:colOff>
      <xdr:row>90</xdr:row>
      <xdr:rowOff>142875</xdr:rowOff>
    </xdr:to>
    <xdr:graphicFrame>
      <xdr:nvGraphicFramePr>
        <xdr:cNvPr id="5" name="Chart 10"/>
        <xdr:cNvGraphicFramePr/>
      </xdr:nvGraphicFramePr>
      <xdr:xfrm>
        <a:off x="4010025" y="11896725"/>
        <a:ext cx="467677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0.0145</cdr:y>
    </cdr:from>
    <cdr:to>
      <cdr:x>0.17475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0.548</cdr:y>
    </cdr:from>
    <cdr:to>
      <cdr:x>0.29925</cdr:x>
      <cdr:y>0.6195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6764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0.3545</cdr:y>
    </cdr:from>
    <cdr:to>
      <cdr:x>0.273</cdr:x>
      <cdr:y>0.429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085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0.55725</cdr:y>
    </cdr:from>
    <cdr:to>
      <cdr:x>0.1755</cdr:x>
      <cdr:y>0.62875</cdr:y>
    </cdr:to>
    <cdr:sp>
      <cdr:nvSpPr>
        <cdr:cNvPr id="4" name="TextBox 4"/>
        <cdr:cNvSpPr txBox="1">
          <a:spLocks noChangeArrowheads="1"/>
        </cdr:cNvSpPr>
      </cdr:nvSpPr>
      <cdr:spPr>
        <a:xfrm>
          <a:off x="838200" y="17049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0.4915</cdr:y>
    </cdr:from>
    <cdr:to>
      <cdr:x>0.6975</cdr:x>
      <cdr:y>0.55675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504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733800" y="21907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0.79375</cdr:y>
    </cdr:from>
    <cdr:to>
      <cdr:x>0.66975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3438525" y="24288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1876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0.77575</cdr:y>
    </cdr:from>
    <cdr:to>
      <cdr:x>0.49275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3717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0.5925</cdr:y>
    </cdr:from>
    <cdr:to>
      <cdr:x>0.601</cdr:x>
      <cdr:y>0.65775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17716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190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0.30825</cdr:y>
    </cdr:from>
    <cdr:to>
      <cdr:x>0.46725</cdr:x>
      <cdr:y>0.38275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371725" y="94297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0.5925</cdr:y>
    </cdr:from>
    <cdr:to>
      <cdr:x>0.51975</cdr:x>
      <cdr:y>0.66075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838200" y="1809750"/>
          <a:ext cx="18859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Institutional, paper subscriptions</a:t>
          </a:r>
        </a:p>
      </cdr:txBody>
    </cdr:sp>
  </cdr:relSizeAnchor>
  <cdr:relSizeAnchor xmlns:cdr="http://schemas.openxmlformats.org/drawingml/2006/chartDrawing">
    <cdr:from>
      <cdr:x>0.11775</cdr:x>
      <cdr:y>0.18225</cdr:y>
    </cdr:from>
    <cdr:to>
      <cdr:x>0.91675</cdr:x>
      <cdr:y>0.18225</cdr:y>
    </cdr:to>
    <cdr:sp>
      <cdr:nvSpPr>
        <cdr:cNvPr id="15" name="Line 15"/>
        <cdr:cNvSpPr>
          <a:spLocks/>
        </cdr:cNvSpPr>
      </cdr:nvSpPr>
      <cdr:spPr>
        <a:xfrm>
          <a:off x="609600" y="5524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18</xdr:row>
      <xdr:rowOff>57150</xdr:rowOff>
    </xdr:from>
    <xdr:to>
      <xdr:col>16</xdr:col>
      <xdr:colOff>485775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38725" y="2971800"/>
        <a:ext cx="4524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581025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5010150" y="5991225"/>
        <a:ext cx="5257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0.474</cdr:y>
    </cdr:from>
    <cdr:to>
      <cdr:x>0.94625</cdr:x>
      <cdr:y>0.47475</cdr:y>
    </cdr:to>
    <cdr:sp>
      <cdr:nvSpPr>
        <cdr:cNvPr id="1" name="Line 1"/>
        <cdr:cNvSpPr>
          <a:spLocks/>
        </cdr:cNvSpPr>
      </cdr:nvSpPr>
      <cdr:spPr>
        <a:xfrm>
          <a:off x="847725" y="1304925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0</xdr:rowOff>
    </xdr:from>
    <xdr:to>
      <xdr:col>17</xdr:col>
      <xdr:colOff>123825</xdr:colOff>
      <xdr:row>36</xdr:row>
      <xdr:rowOff>9525</xdr:rowOff>
    </xdr:to>
    <xdr:graphicFrame>
      <xdr:nvGraphicFramePr>
        <xdr:cNvPr id="1" name="Chart 11"/>
        <xdr:cNvGraphicFramePr/>
      </xdr:nvGraphicFramePr>
      <xdr:xfrm>
        <a:off x="5353050" y="3143250"/>
        <a:ext cx="5362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0.3705</cdr:y>
    </cdr:from>
    <cdr:to>
      <cdr:x>0.98575</cdr:x>
      <cdr:y>0.37125</cdr:y>
    </cdr:to>
    <cdr:sp>
      <cdr:nvSpPr>
        <cdr:cNvPr id="1" name="Line 1"/>
        <cdr:cNvSpPr>
          <a:spLocks/>
        </cdr:cNvSpPr>
      </cdr:nvSpPr>
      <cdr:spPr>
        <a:xfrm flipV="1">
          <a:off x="676275" y="10953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0.40425</cdr:x>
      <cdr:y>0.25</cdr:y>
    </cdr:from>
    <cdr:to>
      <cdr:x>0.7355</cdr:x>
      <cdr:y>0.314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742950"/>
          <a:ext cx="15335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membership revenues</a:t>
          </a:r>
        </a:p>
      </cdr:txBody>
    </cdr:sp>
  </cdr:relSizeAnchor>
  <cdr:relSizeAnchor xmlns:cdr="http://schemas.openxmlformats.org/drawingml/2006/chartDrawing">
    <cdr:from>
      <cdr:x>0.3505</cdr:x>
      <cdr:y>0.441</cdr:y>
    </cdr:from>
    <cdr:to>
      <cdr:x>0.53375</cdr:x>
      <cdr:y>0.505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31445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0.3875</cdr:x>
      <cdr:y>0.65825</cdr:y>
    </cdr:from>
    <cdr:to>
      <cdr:x>0.5665</cdr:x>
      <cdr:y>0.72225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962150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0.20425</cdr:y>
    </cdr:from>
    <cdr:to>
      <cdr:x>0.98575</cdr:x>
      <cdr:y>0.20525</cdr:y>
    </cdr:to>
    <cdr:sp>
      <cdr:nvSpPr>
        <cdr:cNvPr id="1" name="Line 1"/>
        <cdr:cNvSpPr>
          <a:spLocks/>
        </cdr:cNvSpPr>
      </cdr:nvSpPr>
      <cdr:spPr>
        <a:xfrm flipV="1">
          <a:off x="495300" y="504825"/>
          <a:ext cx="406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0.247</cdr:y>
    </cdr:from>
    <cdr:to>
      <cdr:x>0.65525</cdr:x>
      <cdr:y>0.323</cdr:y>
    </cdr:to>
    <cdr:sp>
      <cdr:nvSpPr>
        <cdr:cNvPr id="2" name="TextBox 3"/>
        <cdr:cNvSpPr txBox="1">
          <a:spLocks noChangeArrowheads="1"/>
        </cdr:cNvSpPr>
      </cdr:nvSpPr>
      <cdr:spPr>
        <a:xfrm>
          <a:off x="2190750" y="60960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0.6315</cdr:x>
      <cdr:y>0.50725</cdr:y>
    </cdr:from>
    <cdr:to>
      <cdr:x>0.81025</cdr:x>
      <cdr:y>0.58325</cdr:y>
    </cdr:to>
    <cdr:sp>
      <cdr:nvSpPr>
        <cdr:cNvPr id="3" name="TextBox 4"/>
        <cdr:cNvSpPr txBox="1">
          <a:spLocks noChangeArrowheads="1"/>
        </cdr:cNvSpPr>
      </cdr:nvSpPr>
      <cdr:spPr>
        <a:xfrm>
          <a:off x="2924175" y="1266825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  <cdr:relSizeAnchor xmlns:cdr="http://schemas.openxmlformats.org/drawingml/2006/chartDrawing">
    <cdr:from>
      <cdr:x>0.44175</cdr:x>
      <cdr:y>0.6695</cdr:y>
    </cdr:from>
    <cdr:to>
      <cdr:x>0.6245</cdr:x>
      <cdr:y>0.81025</cdr:y>
    </cdr:to>
    <cdr:sp>
      <cdr:nvSpPr>
        <cdr:cNvPr id="4" name="TextBox 5"/>
        <cdr:cNvSpPr txBox="1">
          <a:spLocks noChangeArrowheads="1"/>
        </cdr:cNvSpPr>
      </cdr:nvSpPr>
      <cdr:spPr>
        <a:xfrm>
          <a:off x="2047875" y="1676400"/>
          <a:ext cx="847725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$5 allocations
   from dues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38100</xdr:rowOff>
    </xdr:from>
    <xdr:to>
      <xdr:col>0</xdr:col>
      <xdr:colOff>0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0" y="77152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9</xdr:col>
      <xdr:colOff>123825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66675" y="4762500"/>
        <a:ext cx="4629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190500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5029200" y="4762500"/>
        <a:ext cx="4638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7">
      <selection activeCell="M32" sqref="M32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39</v>
      </c>
      <c r="C1" s="3"/>
      <c r="I1" s="3" t="s">
        <v>53</v>
      </c>
      <c r="P1" s="3"/>
    </row>
    <row r="2" spans="1:16" ht="12.75">
      <c r="A2" s="3" t="s">
        <v>40</v>
      </c>
      <c r="E2" s="3" t="s">
        <v>56</v>
      </c>
      <c r="F2" s="10"/>
      <c r="I2" s="3" t="s">
        <v>47</v>
      </c>
      <c r="P2" s="11"/>
    </row>
    <row r="3" spans="1:13" ht="12.75">
      <c r="A3" s="12" t="s">
        <v>2</v>
      </c>
      <c r="B3" s="12" t="s">
        <v>57</v>
      </c>
      <c r="C3" s="12" t="s">
        <v>41</v>
      </c>
      <c r="D3" s="3"/>
      <c r="E3" s="12" t="s">
        <v>42</v>
      </c>
      <c r="F3" s="13" t="s">
        <v>3</v>
      </c>
      <c r="G3" s="12" t="s">
        <v>43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</row>
    <row r="4" spans="1:16" ht="12.75">
      <c r="A4">
        <v>1994</v>
      </c>
      <c r="B4">
        <v>185</v>
      </c>
      <c r="C4">
        <v>40</v>
      </c>
      <c r="E4">
        <f aca="true" t="shared" si="0" ref="E4:E15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5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54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179.9</v>
      </c>
      <c r="G12" s="2">
        <f t="shared" si="2"/>
        <v>6878.654808226793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184</v>
      </c>
      <c r="G13" s="2">
        <f t="shared" si="2"/>
        <v>4510.434782608695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136</v>
      </c>
      <c r="C14">
        <v>50</v>
      </c>
      <c r="E14">
        <f t="shared" si="0"/>
        <v>6800</v>
      </c>
      <c r="F14" s="1">
        <v>188.9</v>
      </c>
      <c r="G14" s="2">
        <f t="shared" si="2"/>
        <v>5334.886183165695</v>
      </c>
      <c r="S14" s="4"/>
      <c r="V14" s="4"/>
    </row>
    <row r="15" spans="1:22" ht="12.75">
      <c r="A15">
        <v>2005</v>
      </c>
      <c r="B15">
        <v>126</v>
      </c>
      <c r="C15">
        <v>50</v>
      </c>
      <c r="E15">
        <f t="shared" si="0"/>
        <v>6300</v>
      </c>
      <c r="F15" s="1">
        <v>196</v>
      </c>
      <c r="G15" s="2">
        <f t="shared" si="2"/>
        <v>4763.5714285714275</v>
      </c>
      <c r="H15" t="s">
        <v>71</v>
      </c>
      <c r="K15" s="4"/>
      <c r="S15" s="4"/>
      <c r="V15" s="4"/>
    </row>
    <row r="16" spans="11:22" ht="12.75">
      <c r="K16" s="4"/>
      <c r="P16" s="11"/>
      <c r="S16" s="4"/>
      <c r="V16" s="4"/>
    </row>
    <row r="17" spans="1:17" ht="12.75">
      <c r="A17" s="3" t="s">
        <v>45</v>
      </c>
      <c r="I17" t="s">
        <v>103</v>
      </c>
      <c r="J17" t="s">
        <v>105</v>
      </c>
      <c r="K17" s="4"/>
      <c r="O17" s="4"/>
      <c r="P17" s="14"/>
      <c r="Q17" s="14"/>
    </row>
    <row r="18" spans="2:17" ht="12.75">
      <c r="B18" t="s">
        <v>46</v>
      </c>
      <c r="C18" s="1" t="s">
        <v>102</v>
      </c>
      <c r="D18" s="1"/>
      <c r="E18" s="1"/>
      <c r="F18" s="1" t="s">
        <v>101</v>
      </c>
      <c r="G18" t="s">
        <v>55</v>
      </c>
      <c r="I18" t="s">
        <v>104</v>
      </c>
      <c r="N18" s="14"/>
      <c r="O18" s="14"/>
      <c r="P18" s="14"/>
      <c r="Q18" s="14"/>
    </row>
    <row r="19" spans="1:17" ht="12.75">
      <c r="A19">
        <v>1994</v>
      </c>
      <c r="B19">
        <v>0</v>
      </c>
      <c r="C19" s="4">
        <f>B4/$B$4</f>
        <v>1</v>
      </c>
      <c r="D19" s="1"/>
      <c r="E19" s="1"/>
      <c r="F19" s="4">
        <f>G4/$G$4</f>
        <v>1</v>
      </c>
      <c r="G19">
        <v>0</v>
      </c>
      <c r="I19">
        <v>0</v>
      </c>
      <c r="J19" s="4">
        <f>I4/$I$4</f>
        <v>1</v>
      </c>
      <c r="N19" s="14"/>
      <c r="O19" s="14"/>
      <c r="P19" s="14"/>
      <c r="Q19" s="14"/>
    </row>
    <row r="20" spans="1:17" ht="12.75">
      <c r="A20">
        <v>1995</v>
      </c>
      <c r="B20" s="14">
        <f aca="true" t="shared" si="3" ref="B20:B30">(B5-B$4)/B$4</f>
        <v>0.03783783783783784</v>
      </c>
      <c r="C20" s="4">
        <f aca="true" t="shared" si="4" ref="C20:C29">B5/$B$4</f>
        <v>1.037837837837838</v>
      </c>
      <c r="D20" s="1"/>
      <c r="E20" s="1"/>
      <c r="F20" s="4">
        <f aca="true" t="shared" si="5" ref="F20:F30">G5/$G$4</f>
        <v>1.0092360076612046</v>
      </c>
      <c r="G20" s="14">
        <f>(G5-G$4)/G$4</f>
        <v>0.009236007661204502</v>
      </c>
      <c r="I20" s="14">
        <f aca="true" t="shared" si="6" ref="I20:I28">(I5-I$4)/I$4</f>
        <v>-0.04890984089569829</v>
      </c>
      <c r="J20" s="4">
        <f aca="true" t="shared" si="7" ref="J20:J28">I5/$I$4</f>
        <v>0.9510901591043017</v>
      </c>
      <c r="N20" s="14"/>
      <c r="O20" s="14"/>
      <c r="P20" s="14"/>
      <c r="Q20" s="14"/>
    </row>
    <row r="21" spans="1:17" ht="12.75">
      <c r="A21">
        <v>1996</v>
      </c>
      <c r="B21" s="14">
        <f t="shared" si="3"/>
        <v>0.02702702702702703</v>
      </c>
      <c r="C21" s="4">
        <f t="shared" si="4"/>
        <v>1.027027027027027</v>
      </c>
      <c r="D21" s="1"/>
      <c r="E21" s="1"/>
      <c r="F21" s="4">
        <f t="shared" si="5"/>
        <v>0.9700790656813602</v>
      </c>
      <c r="G21" s="14">
        <f>(G6-G$4)/G$4</f>
        <v>-0.029920934318639854</v>
      </c>
      <c r="I21" s="14">
        <f t="shared" si="6"/>
        <v>-0.10194460813199764</v>
      </c>
      <c r="J21" s="4">
        <f t="shared" si="7"/>
        <v>0.8980553918680023</v>
      </c>
      <c r="K21" s="4"/>
      <c r="N21" s="14"/>
      <c r="O21" s="14"/>
      <c r="P21" s="14"/>
      <c r="Q21" s="14"/>
    </row>
    <row r="22" spans="1:17" ht="12.75">
      <c r="A22">
        <v>1997</v>
      </c>
      <c r="B22" s="14">
        <f t="shared" si="3"/>
        <v>-0.07027027027027027</v>
      </c>
      <c r="C22" s="4">
        <f t="shared" si="4"/>
        <v>0.9297297297297298</v>
      </c>
      <c r="D22" s="1"/>
      <c r="E22" s="1"/>
      <c r="F22" s="4">
        <f t="shared" si="5"/>
        <v>0.8584794139934326</v>
      </c>
      <c r="G22" s="14">
        <f>(G7-G$4)/G$4</f>
        <v>-0.1415205860065674</v>
      </c>
      <c r="I22" s="14">
        <f t="shared" si="6"/>
        <v>-0.1328815556865056</v>
      </c>
      <c r="J22" s="4">
        <f t="shared" si="7"/>
        <v>0.8671184443134944</v>
      </c>
      <c r="K22" s="4"/>
      <c r="N22" s="14"/>
      <c r="O22" s="14"/>
      <c r="P22" s="14"/>
      <c r="Q22" s="14"/>
    </row>
    <row r="23" spans="1:16" ht="12.75">
      <c r="A23">
        <v>1998</v>
      </c>
      <c r="B23" s="14">
        <f t="shared" si="3"/>
        <v>-0.043243243243243246</v>
      </c>
      <c r="C23" s="4">
        <f t="shared" si="4"/>
        <v>0.9567567567567568</v>
      </c>
      <c r="D23" s="1"/>
      <c r="E23" s="1"/>
      <c r="F23" s="4">
        <f t="shared" si="5"/>
        <v>0.8698855911125849</v>
      </c>
      <c r="G23" s="14">
        <f>(G8-G$4)/G$4</f>
        <v>-0.13011440888741507</v>
      </c>
      <c r="I23" s="14">
        <f t="shared" si="6"/>
        <v>-0.15114908662345317</v>
      </c>
      <c r="J23" s="4">
        <f t="shared" si="7"/>
        <v>0.8488509133765468</v>
      </c>
      <c r="K23" s="4"/>
      <c r="N23" s="14"/>
      <c r="O23" s="14"/>
      <c r="P23" s="14"/>
    </row>
    <row r="24" spans="1:16" ht="12.75">
      <c r="A24">
        <v>1999</v>
      </c>
      <c r="B24" s="14">
        <f t="shared" si="3"/>
        <v>-0.11891891891891893</v>
      </c>
      <c r="C24" s="4">
        <f t="shared" si="4"/>
        <v>0.8810810810810811</v>
      </c>
      <c r="D24" s="1"/>
      <c r="E24" s="1"/>
      <c r="F24" s="4">
        <f t="shared" si="5"/>
        <v>0.9797135070244314</v>
      </c>
      <c r="G24" s="14">
        <f>(G9-G$4)/G$4</f>
        <v>-0.020286492975568567</v>
      </c>
      <c r="I24" s="14">
        <f t="shared" si="6"/>
        <v>-0.2280494991160872</v>
      </c>
      <c r="J24" s="4">
        <f t="shared" si="7"/>
        <v>0.7719505008839128</v>
      </c>
      <c r="K24" s="4"/>
      <c r="N24" s="14"/>
      <c r="O24" s="14"/>
      <c r="P24" s="14"/>
    </row>
    <row r="25" spans="1:14" ht="12.75">
      <c r="A25">
        <v>2000</v>
      </c>
      <c r="B25" s="14">
        <f t="shared" si="3"/>
        <v>-0.04864864864864865</v>
      </c>
      <c r="C25" s="4">
        <f t="shared" si="4"/>
        <v>0.9513513513513514</v>
      </c>
      <c r="F25" s="4">
        <f t="shared" si="5"/>
        <v>1.0234485356436578</v>
      </c>
      <c r="G25">
        <f aca="true" t="shared" si="8" ref="G25:G30">(G10-$G$4)/$G$4</f>
        <v>0.02344853564365769</v>
      </c>
      <c r="I25" s="14">
        <f t="shared" si="6"/>
        <v>-0.27578078962875663</v>
      </c>
      <c r="J25" s="4">
        <f t="shared" si="7"/>
        <v>0.7242192103712434</v>
      </c>
      <c r="K25" s="4"/>
      <c r="N25" s="4"/>
    </row>
    <row r="26" spans="1:15" ht="12.75">
      <c r="A26">
        <v>2001</v>
      </c>
      <c r="B26" s="14">
        <f t="shared" si="3"/>
        <v>-0.10810810810810811</v>
      </c>
      <c r="C26" s="4">
        <f t="shared" si="4"/>
        <v>0.8918918918918919</v>
      </c>
      <c r="F26" s="4">
        <f t="shared" si="5"/>
        <v>0.9329360416316939</v>
      </c>
      <c r="G26">
        <f t="shared" si="8"/>
        <v>-0.0670639583683062</v>
      </c>
      <c r="I26" s="14">
        <f t="shared" si="6"/>
        <v>-0.3235120801414261</v>
      </c>
      <c r="J26" s="4">
        <f t="shared" si="7"/>
        <v>0.6764879198585739</v>
      </c>
      <c r="O26" s="4"/>
    </row>
    <row r="27" spans="1:10" ht="12.75">
      <c r="A27">
        <v>2002</v>
      </c>
      <c r="B27" s="14">
        <f t="shared" si="3"/>
        <v>-0.0972972972972973</v>
      </c>
      <c r="C27" s="4">
        <f t="shared" si="4"/>
        <v>0.9027027027027027</v>
      </c>
      <c r="D27" s="1"/>
      <c r="E27" s="1"/>
      <c r="F27" s="4">
        <f t="shared" si="5"/>
        <v>0.9295479470576747</v>
      </c>
      <c r="G27">
        <f t="shared" si="8"/>
        <v>-0.0704520529423253</v>
      </c>
      <c r="I27" s="14">
        <f t="shared" si="6"/>
        <v>-0.3238067177371833</v>
      </c>
      <c r="J27" s="4">
        <f t="shared" si="7"/>
        <v>0.6761932822628167</v>
      </c>
    </row>
    <row r="28" spans="1:10" ht="12.75">
      <c r="A28">
        <v>2003</v>
      </c>
      <c r="B28" s="14">
        <f t="shared" si="3"/>
        <v>-0.3945945945945946</v>
      </c>
      <c r="C28" s="4">
        <f t="shared" si="4"/>
        <v>0.6054054054054054</v>
      </c>
      <c r="F28" s="4">
        <f t="shared" si="5"/>
        <v>0.6095182138660399</v>
      </c>
      <c r="G28">
        <f t="shared" si="8"/>
        <v>-0.3904817861339601</v>
      </c>
      <c r="I28" s="14">
        <f t="shared" si="6"/>
        <v>-0.434001178550383</v>
      </c>
      <c r="J28" s="4">
        <f t="shared" si="7"/>
        <v>0.565998821449617</v>
      </c>
    </row>
    <row r="29" spans="1:9" ht="12.75">
      <c r="A29">
        <v>2004</v>
      </c>
      <c r="B29" s="14">
        <f t="shared" si="3"/>
        <v>-0.2648648648648649</v>
      </c>
      <c r="C29" s="4">
        <f t="shared" si="4"/>
        <v>0.7351351351351352</v>
      </c>
      <c r="F29" s="4">
        <f t="shared" si="5"/>
        <v>0.7209305652926615</v>
      </c>
      <c r="G29">
        <f t="shared" si="8"/>
        <v>-0.2790694347073385</v>
      </c>
      <c r="I29" s="14"/>
    </row>
    <row r="30" spans="1:7" ht="12.75">
      <c r="A30">
        <v>2005</v>
      </c>
      <c r="B30" s="14">
        <f t="shared" si="3"/>
        <v>-0.31891891891891894</v>
      </c>
      <c r="C30" s="4">
        <f>B15/$B$4</f>
        <v>0.6810810810810811</v>
      </c>
      <c r="F30" s="4">
        <f t="shared" si="5"/>
        <v>0.6437258687258686</v>
      </c>
      <c r="G30">
        <f t="shared" si="8"/>
        <v>-0.35627413127413143</v>
      </c>
    </row>
    <row r="31" ht="12.75"/>
    <row r="32" spans="1:3" ht="12.75">
      <c r="A32" s="3" t="s">
        <v>44</v>
      </c>
      <c r="C32" s="14"/>
    </row>
    <row r="33" spans="1:3" ht="12.75">
      <c r="A33">
        <v>1994</v>
      </c>
      <c r="B33">
        <v>0</v>
      </c>
      <c r="C33" s="14"/>
    </row>
    <row r="34" spans="1:3" ht="12.75">
      <c r="A34">
        <v>1995</v>
      </c>
      <c r="B34" s="1">
        <f aca="true" t="shared" si="9" ref="B34:B43">(B5-B4)*100/B4</f>
        <v>3.7837837837837838</v>
      </c>
      <c r="C34" s="14"/>
    </row>
    <row r="35" spans="1:17" ht="12.75">
      <c r="A35">
        <v>1996</v>
      </c>
      <c r="B35" s="1">
        <f t="shared" si="9"/>
        <v>-1.0416666666666667</v>
      </c>
      <c r="C35" s="14"/>
      <c r="O35" s="1"/>
      <c r="Q35" s="1"/>
    </row>
    <row r="36" spans="1:17" ht="12.75">
      <c r="A36">
        <v>1997</v>
      </c>
      <c r="B36" s="1">
        <f t="shared" si="9"/>
        <v>-9.473684210526315</v>
      </c>
      <c r="C36" s="14"/>
      <c r="O36" s="1"/>
      <c r="Q36" s="1"/>
    </row>
    <row r="37" spans="1:17" ht="12.75">
      <c r="A37">
        <v>1998</v>
      </c>
      <c r="B37" s="1">
        <f t="shared" si="9"/>
        <v>2.9069767441860463</v>
      </c>
      <c r="C37" s="14"/>
      <c r="O37" s="1"/>
      <c r="Q37" s="1"/>
    </row>
    <row r="38" spans="1:3" ht="12.75">
      <c r="A38">
        <v>1999</v>
      </c>
      <c r="B38" s="1">
        <f t="shared" si="9"/>
        <v>-7.909604519774011</v>
      </c>
      <c r="C38" s="14"/>
    </row>
    <row r="39" spans="1:2" ht="12.75">
      <c r="A39">
        <v>2000</v>
      </c>
      <c r="B39" s="1">
        <f t="shared" si="9"/>
        <v>7.975460122699387</v>
      </c>
    </row>
    <row r="40" spans="1:2" ht="12.75">
      <c r="A40">
        <v>2001</v>
      </c>
      <c r="B40" s="1">
        <f t="shared" si="9"/>
        <v>-6.25</v>
      </c>
    </row>
    <row r="41" spans="1:2" ht="12.75">
      <c r="A41">
        <v>2002</v>
      </c>
      <c r="B41" s="1">
        <f t="shared" si="9"/>
        <v>1.2121212121212122</v>
      </c>
    </row>
    <row r="42" spans="1:2" ht="12.75">
      <c r="A42">
        <v>2003</v>
      </c>
      <c r="B42" s="1">
        <f t="shared" si="9"/>
        <v>-32.93413173652694</v>
      </c>
    </row>
    <row r="43" spans="1:2" ht="12.75">
      <c r="A43">
        <v>2004</v>
      </c>
      <c r="B43" s="1">
        <f t="shared" si="9"/>
        <v>21.428571428571427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0">
      <selection activeCell="N19" sqref="N19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1" max="11" width="11.8515625" style="0" customWidth="1"/>
    <col min="13" max="13" width="11.8515625" style="0" customWidth="1"/>
    <col min="15" max="15" width="9.140625" style="4" customWidth="1"/>
  </cols>
  <sheetData>
    <row r="1" ht="18">
      <c r="J1" s="25" t="s">
        <v>74</v>
      </c>
    </row>
    <row r="2" spans="1:16" ht="12.75">
      <c r="A2" s="3" t="s">
        <v>8</v>
      </c>
      <c r="N2" s="4"/>
      <c r="O2" t="s">
        <v>75</v>
      </c>
      <c r="P2" t="s">
        <v>75</v>
      </c>
    </row>
    <row r="3" spans="11:16" ht="12.75">
      <c r="K3" t="s">
        <v>73</v>
      </c>
      <c r="M3" t="s">
        <v>73</v>
      </c>
      <c r="N3" s="4" t="s">
        <v>33</v>
      </c>
      <c r="O3" t="s">
        <v>8</v>
      </c>
      <c r="P3" t="s">
        <v>8</v>
      </c>
    </row>
    <row r="4" spans="1:16" ht="12.75">
      <c r="A4" t="s">
        <v>11</v>
      </c>
      <c r="B4" t="s">
        <v>13</v>
      </c>
      <c r="C4" t="s">
        <v>14</v>
      </c>
      <c r="D4" t="s">
        <v>15</v>
      </c>
      <c r="E4" t="s">
        <v>31</v>
      </c>
      <c r="F4" t="s">
        <v>17</v>
      </c>
      <c r="G4" s="2" t="s">
        <v>18</v>
      </c>
      <c r="H4" s="2" t="s">
        <v>19</v>
      </c>
      <c r="J4" t="s">
        <v>2</v>
      </c>
      <c r="K4" t="s">
        <v>72</v>
      </c>
      <c r="L4" t="s">
        <v>3</v>
      </c>
      <c r="M4" t="s">
        <v>32</v>
      </c>
      <c r="N4" s="4" t="s">
        <v>58</v>
      </c>
      <c r="O4" t="s">
        <v>72</v>
      </c>
      <c r="P4" t="s">
        <v>32</v>
      </c>
    </row>
    <row r="5" spans="1:15" ht="12.75">
      <c r="A5" s="3">
        <v>2001</v>
      </c>
      <c r="E5" t="s">
        <v>20</v>
      </c>
      <c r="F5" t="s">
        <v>20</v>
      </c>
      <c r="G5" s="2" t="s">
        <v>21</v>
      </c>
      <c r="H5" s="2" t="s">
        <v>22</v>
      </c>
      <c r="J5">
        <v>1994</v>
      </c>
      <c r="K5">
        <v>7400</v>
      </c>
      <c r="L5">
        <v>148.2</v>
      </c>
      <c r="M5" s="2">
        <f aca="true" t="shared" si="0" ref="M5:M10">$L$12/L5*K5</f>
        <v>8843.049932523616</v>
      </c>
      <c r="N5" s="2">
        <v>0</v>
      </c>
      <c r="O5"/>
    </row>
    <row r="6" spans="1:15" ht="12.75">
      <c r="A6" s="5" t="s">
        <v>23</v>
      </c>
      <c r="B6">
        <v>20</v>
      </c>
      <c r="C6">
        <v>5</v>
      </c>
      <c r="D6">
        <f>(100*B6)+(50*C6)</f>
        <v>2250</v>
      </c>
      <c r="E6">
        <v>160</v>
      </c>
      <c r="F6">
        <v>164</v>
      </c>
      <c r="G6" s="2">
        <f>F6*3.15</f>
        <v>516.6</v>
      </c>
      <c r="H6" s="2">
        <f>D6-G6</f>
        <v>1733.4</v>
      </c>
      <c r="J6">
        <v>1995</v>
      </c>
      <c r="K6">
        <v>7680</v>
      </c>
      <c r="L6">
        <v>152.4</v>
      </c>
      <c r="M6" s="2">
        <f t="shared" si="0"/>
        <v>8924.72440944882</v>
      </c>
      <c r="N6" s="2">
        <v>0</v>
      </c>
      <c r="O6" s="2"/>
    </row>
    <row r="7" spans="1:15" ht="12.75">
      <c r="A7" t="s">
        <v>24</v>
      </c>
      <c r="B7">
        <v>20</v>
      </c>
      <c r="C7">
        <v>11</v>
      </c>
      <c r="D7">
        <f>(100*B7)+(50*C7)</f>
        <v>2550</v>
      </c>
      <c r="E7">
        <v>157</v>
      </c>
      <c r="F7">
        <v>162</v>
      </c>
      <c r="G7" s="2">
        <f>F7*3.15</f>
        <v>510.3</v>
      </c>
      <c r="H7" s="2">
        <f>D7-G7</f>
        <v>2039.7</v>
      </c>
      <c r="J7">
        <v>1996</v>
      </c>
      <c r="K7">
        <v>7600</v>
      </c>
      <c r="L7">
        <v>156.9</v>
      </c>
      <c r="M7" s="2">
        <f t="shared" si="0"/>
        <v>8578.457616316125</v>
      </c>
      <c r="N7" s="2">
        <v>0</v>
      </c>
      <c r="O7" s="2"/>
    </row>
    <row r="8" spans="1:15" ht="12.75">
      <c r="A8" t="s">
        <v>25</v>
      </c>
      <c r="B8">
        <v>16</v>
      </c>
      <c r="C8">
        <v>8</v>
      </c>
      <c r="D8">
        <f>(100*B8)+(50*C8)</f>
        <v>2000</v>
      </c>
      <c r="E8">
        <v>130</v>
      </c>
      <c r="F8">
        <v>138</v>
      </c>
      <c r="G8" s="2">
        <f>F8*3.15</f>
        <v>434.7</v>
      </c>
      <c r="H8" s="2">
        <f>D8-G8</f>
        <v>1565.3</v>
      </c>
      <c r="J8">
        <v>1997</v>
      </c>
      <c r="K8">
        <v>6880</v>
      </c>
      <c r="L8">
        <v>160.5</v>
      </c>
      <c r="M8" s="2">
        <f t="shared" si="0"/>
        <v>7591.57632398754</v>
      </c>
      <c r="N8" s="2">
        <v>0</v>
      </c>
      <c r="O8" s="2"/>
    </row>
    <row r="9" spans="1:15" ht="12.75">
      <c r="A9" t="s">
        <v>26</v>
      </c>
      <c r="B9">
        <v>34</v>
      </c>
      <c r="C9">
        <v>12</v>
      </c>
      <c r="D9">
        <f>(100*B9)+(50*C9)</f>
        <v>4000</v>
      </c>
      <c r="E9">
        <v>277</v>
      </c>
      <c r="F9">
        <v>287</v>
      </c>
      <c r="G9" s="2">
        <f>F9*3.15</f>
        <v>904.05</v>
      </c>
      <c r="H9" s="2">
        <f>D9-G9</f>
        <v>3095.95</v>
      </c>
      <c r="J9">
        <v>1998</v>
      </c>
      <c r="K9">
        <v>7080</v>
      </c>
      <c r="L9" s="1">
        <v>163</v>
      </c>
      <c r="M9" s="2">
        <f t="shared" si="0"/>
        <v>7692.441717791411</v>
      </c>
      <c r="N9" s="2">
        <v>0</v>
      </c>
      <c r="O9" s="2"/>
    </row>
    <row r="10" spans="1:15" ht="12.75">
      <c r="A10" t="s">
        <v>27</v>
      </c>
      <c r="B10">
        <f aca="true" t="shared" si="1" ref="B10:H10">SUM(B6:B9)</f>
        <v>90</v>
      </c>
      <c r="C10">
        <f t="shared" si="1"/>
        <v>36</v>
      </c>
      <c r="D10">
        <f t="shared" si="1"/>
        <v>10800</v>
      </c>
      <c r="E10">
        <f t="shared" si="1"/>
        <v>724</v>
      </c>
      <c r="F10">
        <f t="shared" si="1"/>
        <v>751</v>
      </c>
      <c r="G10" s="2">
        <f t="shared" si="1"/>
        <v>2365.65</v>
      </c>
      <c r="H10" s="2">
        <f t="shared" si="1"/>
        <v>8434.35</v>
      </c>
      <c r="J10">
        <v>1999</v>
      </c>
      <c r="K10">
        <v>8150</v>
      </c>
      <c r="L10">
        <v>166.6</v>
      </c>
      <c r="M10" s="2">
        <f t="shared" si="0"/>
        <v>8663.655462184874</v>
      </c>
      <c r="N10" s="2">
        <v>0</v>
      </c>
      <c r="O10" s="2"/>
    </row>
    <row r="11" spans="5:15" ht="12.75">
      <c r="E11" s="6"/>
      <c r="F11" s="6"/>
      <c r="J11">
        <v>2000</v>
      </c>
      <c r="K11">
        <v>8800</v>
      </c>
      <c r="L11">
        <v>172.2</v>
      </c>
      <c r="M11" s="2">
        <f>$L$12/L11*K11</f>
        <v>9050.406504065042</v>
      </c>
      <c r="N11" s="2">
        <v>0</v>
      </c>
      <c r="O11" s="2"/>
    </row>
    <row r="12" spans="1:16" ht="12.75">
      <c r="A12" s="3">
        <v>2002</v>
      </c>
      <c r="J12">
        <v>2001</v>
      </c>
      <c r="K12">
        <v>8250</v>
      </c>
      <c r="L12">
        <v>177.1</v>
      </c>
      <c r="M12" s="2">
        <v>8250</v>
      </c>
      <c r="N12" s="2">
        <v>0</v>
      </c>
      <c r="O12" s="2">
        <v>8434.35</v>
      </c>
      <c r="P12" s="2">
        <f>O12</f>
        <v>8434.35</v>
      </c>
    </row>
    <row r="13" spans="1:16" ht="12.75">
      <c r="A13" s="5" t="s">
        <v>23</v>
      </c>
      <c r="B13">
        <v>33</v>
      </c>
      <c r="C13">
        <v>9</v>
      </c>
      <c r="D13">
        <f>(100*B13)+(50*C13)</f>
        <v>3750</v>
      </c>
      <c r="E13">
        <v>291</v>
      </c>
      <c r="F13">
        <v>302</v>
      </c>
      <c r="G13" s="2">
        <f>F13*3.15</f>
        <v>951.3</v>
      </c>
      <c r="H13" s="2">
        <f>D13-G13</f>
        <v>2798.7</v>
      </c>
      <c r="J13">
        <v>2002</v>
      </c>
      <c r="K13">
        <v>8350</v>
      </c>
      <c r="L13">
        <v>179.9</v>
      </c>
      <c r="M13" s="2">
        <f>$L$12/L13*K13</f>
        <v>8220.038910505837</v>
      </c>
      <c r="N13" s="2">
        <v>2763.7</v>
      </c>
      <c r="O13" s="2">
        <v>3960.05</v>
      </c>
      <c r="P13" s="2">
        <f>$L$12/L13*O13</f>
        <v>3898.414980544747</v>
      </c>
    </row>
    <row r="14" spans="1:16" ht="12.75">
      <c r="A14" t="s">
        <v>24</v>
      </c>
      <c r="B14">
        <v>10</v>
      </c>
      <c r="C14">
        <v>11</v>
      </c>
      <c r="D14">
        <f>(100*B14)+(50*C14)</f>
        <v>1550</v>
      </c>
      <c r="E14">
        <v>95</v>
      </c>
      <c r="F14">
        <v>106</v>
      </c>
      <c r="G14" s="2">
        <f>F14*3.15</f>
        <v>333.9</v>
      </c>
      <c r="H14" s="2">
        <f>D14-G14</f>
        <v>1216.1</v>
      </c>
      <c r="J14">
        <v>2003</v>
      </c>
      <c r="K14">
        <v>5600</v>
      </c>
      <c r="L14" s="1">
        <v>184</v>
      </c>
      <c r="M14" s="2">
        <f>$L$12/L14*K14</f>
        <v>5390</v>
      </c>
      <c r="N14" s="2"/>
      <c r="O14" s="2">
        <v>3233</v>
      </c>
      <c r="P14" s="2">
        <f>$L$12/L14*O14</f>
        <v>3111.7625000000003</v>
      </c>
    </row>
    <row r="15" spans="1:16" ht="12.75">
      <c r="A15" t="s">
        <v>25</v>
      </c>
      <c r="B15">
        <v>15</v>
      </c>
      <c r="C15">
        <v>5</v>
      </c>
      <c r="D15">
        <f>(100*B15)+(50*C15)</f>
        <v>1750</v>
      </c>
      <c r="E15">
        <v>122</v>
      </c>
      <c r="F15">
        <v>128</v>
      </c>
      <c r="G15" s="2">
        <f>F15*3.15</f>
        <v>403.2</v>
      </c>
      <c r="H15" s="2">
        <f>D15-G15</f>
        <v>1346.8</v>
      </c>
      <c r="J15">
        <v>2004</v>
      </c>
      <c r="K15">
        <v>6800</v>
      </c>
      <c r="L15">
        <v>188.9</v>
      </c>
      <c r="M15" s="2">
        <f>$L$12/L15*K15</f>
        <v>6375.224986765484</v>
      </c>
      <c r="N15" s="2"/>
      <c r="O15" s="2">
        <v>4717</v>
      </c>
      <c r="P15" s="2">
        <f>$L$12/L15*O15</f>
        <v>4422.34356802541</v>
      </c>
    </row>
    <row r="16" spans="1:16" ht="12.75">
      <c r="A16" t="s">
        <v>26</v>
      </c>
      <c r="B16">
        <v>15</v>
      </c>
      <c r="C16">
        <v>6</v>
      </c>
      <c r="D16">
        <f>(100*B16)+(50*C16)</f>
        <v>1800</v>
      </c>
      <c r="E16">
        <v>127</v>
      </c>
      <c r="F16">
        <v>139</v>
      </c>
      <c r="G16" s="2">
        <f>F16*3.15</f>
        <v>437.84999999999997</v>
      </c>
      <c r="H16" s="2">
        <f>D16-G16</f>
        <v>1362.15</v>
      </c>
      <c r="J16">
        <v>2005</v>
      </c>
      <c r="K16">
        <v>6300</v>
      </c>
      <c r="L16">
        <v>194</v>
      </c>
      <c r="M16" s="2">
        <f>$L$12/L16*K16</f>
        <v>5751.18556701031</v>
      </c>
      <c r="N16" t="s">
        <v>71</v>
      </c>
      <c r="O16" s="2">
        <v>2891</v>
      </c>
      <c r="P16" s="2">
        <f>$L$12/L16*O16</f>
        <v>2639.155154639175</v>
      </c>
    </row>
    <row r="17" spans="1:8" ht="12.75">
      <c r="A17" t="s">
        <v>27</v>
      </c>
      <c r="B17">
        <f aca="true" t="shared" si="2" ref="B17:H17">SUM(B13:B16)</f>
        <v>73</v>
      </c>
      <c r="C17">
        <f t="shared" si="2"/>
        <v>31</v>
      </c>
      <c r="D17">
        <f t="shared" si="2"/>
        <v>8850</v>
      </c>
      <c r="E17">
        <f t="shared" si="2"/>
        <v>635</v>
      </c>
      <c r="F17">
        <f t="shared" si="2"/>
        <v>675</v>
      </c>
      <c r="G17" s="2">
        <f t="shared" si="2"/>
        <v>2126.25</v>
      </c>
      <c r="H17" s="2">
        <f t="shared" si="2"/>
        <v>6723.75</v>
      </c>
    </row>
    <row r="19" ht="12.75">
      <c r="A19" s="3">
        <v>2003</v>
      </c>
    </row>
    <row r="20" spans="1:8" ht="12.75">
      <c r="A20" s="5" t="s">
        <v>23</v>
      </c>
      <c r="B20">
        <v>11</v>
      </c>
      <c r="C20">
        <v>4</v>
      </c>
      <c r="D20">
        <f>(100*B20)+(50*C20)</f>
        <v>1300</v>
      </c>
      <c r="E20">
        <v>95</v>
      </c>
      <c r="F20">
        <v>98</v>
      </c>
      <c r="G20" s="2">
        <f>(F20*5.85)+100+6</f>
        <v>679.3</v>
      </c>
      <c r="H20" s="2">
        <f>D20-G20</f>
        <v>620.7</v>
      </c>
    </row>
    <row r="21" spans="1:8" ht="12.75">
      <c r="A21" t="s">
        <v>24</v>
      </c>
      <c r="B21">
        <v>17</v>
      </c>
      <c r="C21">
        <v>4</v>
      </c>
      <c r="D21">
        <f>(100*B21)+(50*C21)</f>
        <v>1900</v>
      </c>
      <c r="E21">
        <v>128</v>
      </c>
      <c r="F21">
        <v>130</v>
      </c>
      <c r="G21" s="2">
        <f>(5.85*E21)+150+6</f>
        <v>904.8</v>
      </c>
      <c r="H21" s="2">
        <f>D21-G21</f>
        <v>995.2</v>
      </c>
    </row>
    <row r="22" spans="1:8" ht="12.75">
      <c r="A22" t="s">
        <v>25</v>
      </c>
      <c r="B22">
        <v>15</v>
      </c>
      <c r="C22">
        <v>5</v>
      </c>
      <c r="D22">
        <f>(100*B22)+(50*C22)</f>
        <v>1750</v>
      </c>
      <c r="E22">
        <v>156</v>
      </c>
      <c r="F22">
        <v>160</v>
      </c>
      <c r="G22" s="2">
        <f>(5.85*E22)+150+6</f>
        <v>1068.6</v>
      </c>
      <c r="H22" s="2">
        <f>D22-G22</f>
        <v>681.4000000000001</v>
      </c>
    </row>
    <row r="23" spans="1:8" ht="12.75">
      <c r="A23" t="s">
        <v>26</v>
      </c>
      <c r="B23">
        <v>13</v>
      </c>
      <c r="C23">
        <v>8</v>
      </c>
      <c r="D23">
        <f>(100*B23)+(50*C23)</f>
        <v>1700</v>
      </c>
      <c r="E23">
        <v>104</v>
      </c>
      <c r="F23">
        <v>118</v>
      </c>
      <c r="G23" s="2">
        <f>(5.85*E23)+150+6</f>
        <v>764.4</v>
      </c>
      <c r="H23" s="2">
        <f>D23-G23</f>
        <v>935.6</v>
      </c>
    </row>
    <row r="24" spans="1:8" ht="12.75">
      <c r="A24" t="s">
        <v>27</v>
      </c>
      <c r="B24">
        <f>SUM(B20:B23)</f>
        <v>56</v>
      </c>
      <c r="C24">
        <f aca="true" t="shared" si="3" ref="C24:H24">SUM(C20:C23)</f>
        <v>21</v>
      </c>
      <c r="D24">
        <f t="shared" si="3"/>
        <v>6650</v>
      </c>
      <c r="E24">
        <f t="shared" si="3"/>
        <v>483</v>
      </c>
      <c r="F24">
        <f t="shared" si="3"/>
        <v>506</v>
      </c>
      <c r="G24" s="2">
        <f t="shared" si="3"/>
        <v>3417.1</v>
      </c>
      <c r="H24" s="2">
        <f t="shared" si="3"/>
        <v>3232.9</v>
      </c>
    </row>
    <row r="26" spans="1:2" ht="12.75">
      <c r="A26" s="3">
        <v>2004</v>
      </c>
      <c r="B26" s="4"/>
    </row>
    <row r="27" spans="1:8" ht="12.75">
      <c r="A27" s="5" t="s">
        <v>23</v>
      </c>
      <c r="B27">
        <v>11</v>
      </c>
      <c r="C27">
        <v>5</v>
      </c>
      <c r="D27">
        <f>(100*B27)+(50*C27)</f>
        <v>1350</v>
      </c>
      <c r="E27">
        <v>93</v>
      </c>
      <c r="F27">
        <v>104</v>
      </c>
      <c r="G27" s="2">
        <f>(5.85*E27)+150+6</f>
        <v>700.05</v>
      </c>
      <c r="H27" s="2">
        <f>D27-G27</f>
        <v>649.95</v>
      </c>
    </row>
    <row r="28" spans="1:8" ht="12.75">
      <c r="A28" t="s">
        <v>24</v>
      </c>
      <c r="B28">
        <v>18</v>
      </c>
      <c r="C28">
        <v>7</v>
      </c>
      <c r="D28">
        <f>(100*B28)+(50*C28)</f>
        <v>2150</v>
      </c>
      <c r="E28">
        <v>139</v>
      </c>
      <c r="F28">
        <v>148</v>
      </c>
      <c r="G28" s="2">
        <f>(5.85*E28)+150+6</f>
        <v>969.15</v>
      </c>
      <c r="H28" s="2">
        <f>D28-G28</f>
        <v>1180.85</v>
      </c>
    </row>
    <row r="29" spans="1:8" ht="12.75">
      <c r="A29" t="s">
        <v>25</v>
      </c>
      <c r="B29">
        <v>19</v>
      </c>
      <c r="C29">
        <v>9</v>
      </c>
      <c r="D29">
        <f>(100*B29)+(50*C29)</f>
        <v>2350</v>
      </c>
      <c r="E29">
        <v>159</v>
      </c>
      <c r="F29">
        <v>174</v>
      </c>
      <c r="G29" s="2">
        <f>(5.85*E29)+150+6</f>
        <v>1086.15</v>
      </c>
      <c r="H29" s="2">
        <f>D29-G29</f>
        <v>1263.85</v>
      </c>
    </row>
    <row r="30" spans="1:8" ht="12.75">
      <c r="A30" t="s">
        <v>26</v>
      </c>
      <c r="B30">
        <v>24</v>
      </c>
      <c r="C30">
        <v>16</v>
      </c>
      <c r="D30">
        <f>(100*B30)+(50*C30)</f>
        <v>3200</v>
      </c>
      <c r="E30">
        <v>206</v>
      </c>
      <c r="F30">
        <v>216</v>
      </c>
      <c r="G30" s="2">
        <f>(5.85*E30)+(1.5*(F30-E30))</f>
        <v>1220.1</v>
      </c>
      <c r="H30" s="2">
        <f>D30-G30</f>
        <v>1979.9</v>
      </c>
    </row>
    <row r="31" spans="1:8" ht="12.75">
      <c r="A31" t="s">
        <v>27</v>
      </c>
      <c r="B31">
        <f aca="true" t="shared" si="4" ref="B31:H31">SUM(B27:B30)</f>
        <v>72</v>
      </c>
      <c r="C31">
        <f t="shared" si="4"/>
        <v>37</v>
      </c>
      <c r="D31">
        <f t="shared" si="4"/>
        <v>9050</v>
      </c>
      <c r="E31">
        <f t="shared" si="4"/>
        <v>597</v>
      </c>
      <c r="F31">
        <f t="shared" si="4"/>
        <v>642</v>
      </c>
      <c r="G31" s="2">
        <f t="shared" si="4"/>
        <v>3975.45</v>
      </c>
      <c r="H31" s="2">
        <f t="shared" si="4"/>
        <v>5074.549999999999</v>
      </c>
    </row>
    <row r="33" ht="12.75">
      <c r="A33" s="3">
        <v>2005</v>
      </c>
    </row>
    <row r="34" spans="1:6" ht="12.75">
      <c r="A34" s="5" t="s">
        <v>23</v>
      </c>
      <c r="B34">
        <v>15</v>
      </c>
      <c r="C34">
        <v>6</v>
      </c>
      <c r="D34">
        <f>(100*B34)+(50*C34)</f>
        <v>1800</v>
      </c>
      <c r="E34">
        <v>110</v>
      </c>
      <c r="F34">
        <v>116</v>
      </c>
    </row>
    <row r="35" ht="12.75">
      <c r="A35" t="s">
        <v>24</v>
      </c>
    </row>
    <row r="36" ht="12.75">
      <c r="A36" t="s">
        <v>25</v>
      </c>
    </row>
    <row r="37" spans="1:2" ht="12.75">
      <c r="A37" t="s">
        <v>26</v>
      </c>
      <c r="B37" s="4"/>
    </row>
    <row r="38" spans="1:2" ht="12.75">
      <c r="A38" t="s">
        <v>27</v>
      </c>
      <c r="B38" s="4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E1">
      <selection activeCell="D19" sqref="D19"/>
    </sheetView>
  </sheetViews>
  <sheetFormatPr defaultColWidth="9.140625" defaultRowHeight="12.75"/>
  <cols>
    <col min="1" max="1" width="6.7109375" style="0" customWidth="1"/>
    <col min="2" max="2" width="5.8515625" style="0" customWidth="1"/>
    <col min="5" max="5" width="7.00390625" style="0" customWidth="1"/>
    <col min="6" max="6" width="5.8515625" style="0" customWidth="1"/>
    <col min="7" max="7" width="7.28125" style="0" customWidth="1"/>
    <col min="9" max="9" width="8.421875" style="0" customWidth="1"/>
    <col min="10" max="10" width="6.8515625" style="0" customWidth="1"/>
    <col min="11" max="11" width="6.7109375" style="0" customWidth="1"/>
    <col min="12" max="12" width="6.28125" style="0" customWidth="1"/>
    <col min="13" max="13" width="8.00390625" style="0" customWidth="1"/>
  </cols>
  <sheetData>
    <row r="1" ht="18">
      <c r="A1" s="25" t="s">
        <v>81</v>
      </c>
    </row>
    <row r="3" spans="1:17" ht="12.75">
      <c r="A3" s="3" t="s">
        <v>1</v>
      </c>
      <c r="G3" s="3" t="s">
        <v>30</v>
      </c>
      <c r="Q3" s="3" t="s">
        <v>76</v>
      </c>
    </row>
    <row r="4" spans="2:14" ht="12.75">
      <c r="B4" s="3"/>
      <c r="G4" s="3"/>
      <c r="K4" t="s">
        <v>4</v>
      </c>
      <c r="M4" t="s">
        <v>4</v>
      </c>
      <c r="N4" t="s">
        <v>106</v>
      </c>
    </row>
    <row r="5" spans="1:19" ht="12.75">
      <c r="A5" t="s">
        <v>2</v>
      </c>
      <c r="B5" t="s">
        <v>80</v>
      </c>
      <c r="C5" t="s">
        <v>79</v>
      </c>
      <c r="D5" t="s">
        <v>78</v>
      </c>
      <c r="E5" t="s">
        <v>77</v>
      </c>
      <c r="F5" t="s">
        <v>4</v>
      </c>
      <c r="G5" t="s">
        <v>80</v>
      </c>
      <c r="H5" t="s">
        <v>79</v>
      </c>
      <c r="I5" t="s">
        <v>78</v>
      </c>
      <c r="J5" t="s">
        <v>77</v>
      </c>
      <c r="K5" t="s">
        <v>72</v>
      </c>
      <c r="L5" t="s">
        <v>3</v>
      </c>
      <c r="M5" t="s">
        <v>5</v>
      </c>
      <c r="N5" t="s">
        <v>107</v>
      </c>
      <c r="Q5" t="s">
        <v>82</v>
      </c>
      <c r="R5" t="s">
        <v>80</v>
      </c>
      <c r="S5" t="s">
        <v>0</v>
      </c>
    </row>
    <row r="6" spans="1:18" ht="12.75">
      <c r="A6" t="s">
        <v>7</v>
      </c>
      <c r="N6" t="s">
        <v>108</v>
      </c>
      <c r="O6" t="s">
        <v>109</v>
      </c>
      <c r="P6" t="s">
        <v>110</v>
      </c>
      <c r="Q6" t="s">
        <v>34</v>
      </c>
      <c r="R6" t="s">
        <v>29</v>
      </c>
    </row>
    <row r="7" spans="1:12" ht="12.75">
      <c r="A7">
        <v>1994</v>
      </c>
      <c r="L7">
        <v>148.2</v>
      </c>
    </row>
    <row r="8" ht="12.75">
      <c r="A8">
        <v>1995</v>
      </c>
    </row>
    <row r="9" spans="1:6" ht="12.75">
      <c r="A9">
        <v>1996</v>
      </c>
      <c r="B9">
        <v>411</v>
      </c>
      <c r="C9">
        <v>47</v>
      </c>
      <c r="E9">
        <v>55</v>
      </c>
      <c r="F9">
        <f>SUM(B9:E9)</f>
        <v>513</v>
      </c>
    </row>
    <row r="10" ht="12.75">
      <c r="A10">
        <v>1997</v>
      </c>
    </row>
    <row r="11" spans="1:19" ht="12.75">
      <c r="A11">
        <v>1998</v>
      </c>
      <c r="B11">
        <v>386</v>
      </c>
      <c r="C11">
        <v>46</v>
      </c>
      <c r="E11">
        <v>67</v>
      </c>
      <c r="F11">
        <f aca="true" t="shared" si="0" ref="F11:F18">SUM(B11:E11)</f>
        <v>499</v>
      </c>
      <c r="G11">
        <f>B11*30</f>
        <v>11580</v>
      </c>
      <c r="H11">
        <f>C11*55</f>
        <v>2530</v>
      </c>
      <c r="J11">
        <f>E11*10</f>
        <v>670</v>
      </c>
      <c r="K11">
        <f aca="true" t="shared" si="1" ref="K11:K16">SUM(G11:J11)</f>
        <v>14780</v>
      </c>
      <c r="L11" s="1">
        <v>163</v>
      </c>
      <c r="M11" s="2">
        <f aca="true" t="shared" si="2" ref="M11:M18">K11*$L$11/L11</f>
        <v>14780</v>
      </c>
      <c r="N11">
        <f aca="true" t="shared" si="3" ref="N11:N18">5*F11</f>
        <v>2495</v>
      </c>
      <c r="O11" s="2">
        <f>N11*$L$7/L11</f>
        <v>2268.4601226993864</v>
      </c>
      <c r="P11" s="4">
        <f>O11/$O$11</f>
        <v>1</v>
      </c>
      <c r="Q11">
        <v>1324</v>
      </c>
      <c r="R11">
        <v>5076</v>
      </c>
      <c r="S11">
        <f aca="true" t="shared" si="4" ref="S11:S16">SUM(Q11:R11)</f>
        <v>6400</v>
      </c>
    </row>
    <row r="12" spans="1:19" ht="12.75">
      <c r="A12">
        <v>1999</v>
      </c>
      <c r="B12">
        <v>358</v>
      </c>
      <c r="C12">
        <v>41</v>
      </c>
      <c r="E12">
        <v>58</v>
      </c>
      <c r="F12">
        <f t="shared" si="0"/>
        <v>457</v>
      </c>
      <c r="G12">
        <f aca="true" t="shared" si="5" ref="G12:G18">B12*40</f>
        <v>14320</v>
      </c>
      <c r="H12">
        <f>C12*65</f>
        <v>2665</v>
      </c>
      <c r="J12">
        <f aca="true" t="shared" si="6" ref="J12:J18">E12*20</f>
        <v>1160</v>
      </c>
      <c r="K12">
        <f t="shared" si="1"/>
        <v>18145</v>
      </c>
      <c r="L12" s="1">
        <v>166.6</v>
      </c>
      <c r="M12" s="2">
        <f t="shared" si="2"/>
        <v>17752.911164465786</v>
      </c>
      <c r="N12">
        <f t="shared" si="3"/>
        <v>2285</v>
      </c>
      <c r="O12" s="2">
        <f aca="true" t="shared" si="7" ref="O12:O18">N12*$L$7/L12</f>
        <v>2032.6350540216088</v>
      </c>
      <c r="P12" s="4">
        <f aca="true" t="shared" si="8" ref="P12:P18">O12/$O$11</f>
        <v>0.8960417834468458</v>
      </c>
      <c r="Q12">
        <v>1305</v>
      </c>
      <c r="R12">
        <v>4890</v>
      </c>
      <c r="S12">
        <f t="shared" si="4"/>
        <v>6195</v>
      </c>
    </row>
    <row r="13" spans="1:19" ht="12.75">
      <c r="A13">
        <v>2000</v>
      </c>
      <c r="B13">
        <v>335</v>
      </c>
      <c r="C13">
        <v>37</v>
      </c>
      <c r="E13">
        <v>39</v>
      </c>
      <c r="F13">
        <f t="shared" si="0"/>
        <v>411</v>
      </c>
      <c r="G13">
        <f t="shared" si="5"/>
        <v>13400</v>
      </c>
      <c r="H13">
        <f>C13*65</f>
        <v>2405</v>
      </c>
      <c r="J13">
        <f t="shared" si="6"/>
        <v>780</v>
      </c>
      <c r="K13">
        <f t="shared" si="1"/>
        <v>16585</v>
      </c>
      <c r="L13" s="1">
        <v>172.2</v>
      </c>
      <c r="M13" s="2">
        <f t="shared" si="2"/>
        <v>15698.925667828107</v>
      </c>
      <c r="N13">
        <f t="shared" si="3"/>
        <v>2055</v>
      </c>
      <c r="O13" s="2">
        <f t="shared" si="7"/>
        <v>1768.588850174216</v>
      </c>
      <c r="P13" s="4">
        <f t="shared" si="8"/>
        <v>0.7796429095124047</v>
      </c>
      <c r="Q13">
        <v>1130</v>
      </c>
      <c r="R13">
        <v>4537</v>
      </c>
      <c r="S13">
        <f t="shared" si="4"/>
        <v>5667</v>
      </c>
    </row>
    <row r="14" spans="1:19" ht="12.75">
      <c r="A14">
        <v>2001</v>
      </c>
      <c r="B14">
        <v>347</v>
      </c>
      <c r="C14">
        <v>31</v>
      </c>
      <c r="E14">
        <v>51</v>
      </c>
      <c r="F14">
        <f t="shared" si="0"/>
        <v>429</v>
      </c>
      <c r="G14">
        <f t="shared" si="5"/>
        <v>13880</v>
      </c>
      <c r="H14">
        <f>C14*65</f>
        <v>2015</v>
      </c>
      <c r="J14">
        <f t="shared" si="6"/>
        <v>1020</v>
      </c>
      <c r="K14">
        <f t="shared" si="1"/>
        <v>16915</v>
      </c>
      <c r="L14" s="1">
        <v>177.1</v>
      </c>
      <c r="M14" s="2">
        <f t="shared" si="2"/>
        <v>15568.294748729531</v>
      </c>
      <c r="N14">
        <f t="shared" si="3"/>
        <v>2145</v>
      </c>
      <c r="O14" s="2">
        <f t="shared" si="7"/>
        <v>1794.9689440993789</v>
      </c>
      <c r="P14" s="4">
        <f t="shared" si="8"/>
        <v>0.7912719849637163</v>
      </c>
      <c r="Q14">
        <v>1307</v>
      </c>
      <c r="R14">
        <v>4382</v>
      </c>
      <c r="S14">
        <f t="shared" si="4"/>
        <v>5689</v>
      </c>
    </row>
    <row r="15" spans="1:19" ht="12.75">
      <c r="A15">
        <v>2002</v>
      </c>
      <c r="B15">
        <v>290</v>
      </c>
      <c r="C15">
        <v>35</v>
      </c>
      <c r="E15">
        <v>46</v>
      </c>
      <c r="F15">
        <f t="shared" si="0"/>
        <v>371</v>
      </c>
      <c r="G15">
        <f t="shared" si="5"/>
        <v>11600</v>
      </c>
      <c r="H15">
        <f>C15*65</f>
        <v>2275</v>
      </c>
      <c r="J15">
        <f t="shared" si="6"/>
        <v>920</v>
      </c>
      <c r="K15">
        <f t="shared" si="1"/>
        <v>14795</v>
      </c>
      <c r="L15" s="1">
        <v>179.9</v>
      </c>
      <c r="M15" s="2">
        <f t="shared" si="2"/>
        <v>13405.14174541412</v>
      </c>
      <c r="N15">
        <f t="shared" si="3"/>
        <v>1855</v>
      </c>
      <c r="O15" s="2">
        <f t="shared" si="7"/>
        <v>1528.1322957198443</v>
      </c>
      <c r="P15" s="4">
        <f t="shared" si="8"/>
        <v>0.6736430058560701</v>
      </c>
      <c r="Q15">
        <v>1311</v>
      </c>
      <c r="R15">
        <v>4449</v>
      </c>
      <c r="S15">
        <f t="shared" si="4"/>
        <v>5760</v>
      </c>
    </row>
    <row r="16" spans="1:19" ht="12.75">
      <c r="A16">
        <v>2003</v>
      </c>
      <c r="B16">
        <v>256</v>
      </c>
      <c r="C16">
        <v>28</v>
      </c>
      <c r="E16">
        <v>37</v>
      </c>
      <c r="F16">
        <f t="shared" si="0"/>
        <v>321</v>
      </c>
      <c r="G16">
        <f t="shared" si="5"/>
        <v>10240</v>
      </c>
      <c r="H16">
        <f>C16*65</f>
        <v>1820</v>
      </c>
      <c r="J16">
        <f t="shared" si="6"/>
        <v>740</v>
      </c>
      <c r="K16">
        <f t="shared" si="1"/>
        <v>12800</v>
      </c>
      <c r="L16" s="1">
        <v>184</v>
      </c>
      <c r="M16" s="2">
        <f t="shared" si="2"/>
        <v>11339.130434782608</v>
      </c>
      <c r="N16">
        <f t="shared" si="3"/>
        <v>1605</v>
      </c>
      <c r="O16" s="2">
        <f t="shared" si="7"/>
        <v>1292.7228260869563</v>
      </c>
      <c r="P16" s="4">
        <f t="shared" si="8"/>
        <v>0.5698679968632917</v>
      </c>
      <c r="Q16">
        <v>1274</v>
      </c>
      <c r="R16">
        <v>4253</v>
      </c>
      <c r="S16">
        <f t="shared" si="4"/>
        <v>5527</v>
      </c>
    </row>
    <row r="17" spans="1:16" ht="12.75">
      <c r="A17">
        <v>2004</v>
      </c>
      <c r="B17">
        <v>286</v>
      </c>
      <c r="C17">
        <v>22</v>
      </c>
      <c r="D17">
        <v>2</v>
      </c>
      <c r="E17">
        <v>51</v>
      </c>
      <c r="F17">
        <f t="shared" si="0"/>
        <v>361</v>
      </c>
      <c r="G17">
        <f t="shared" si="5"/>
        <v>11440</v>
      </c>
      <c r="H17">
        <f>C17*100</f>
        <v>2200</v>
      </c>
      <c r="I17">
        <f>D17*250</f>
        <v>500</v>
      </c>
      <c r="J17">
        <f t="shared" si="6"/>
        <v>1020</v>
      </c>
      <c r="K17">
        <f>SUM(G17:J17)</f>
        <v>15160</v>
      </c>
      <c r="L17" s="1">
        <v>188.9</v>
      </c>
      <c r="M17" s="2">
        <f t="shared" si="2"/>
        <v>13081.418740074112</v>
      </c>
      <c r="N17">
        <f t="shared" si="3"/>
        <v>1805</v>
      </c>
      <c r="O17" s="2">
        <f t="shared" si="7"/>
        <v>1416.0984647961884</v>
      </c>
      <c r="P17" s="4">
        <f t="shared" si="8"/>
        <v>0.6242553927335879</v>
      </c>
    </row>
    <row r="18" spans="1:16" ht="12.75">
      <c r="A18">
        <v>2005</v>
      </c>
      <c r="B18">
        <v>288</v>
      </c>
      <c r="C18">
        <v>22</v>
      </c>
      <c r="D18">
        <v>4</v>
      </c>
      <c r="E18">
        <v>60</v>
      </c>
      <c r="F18">
        <f t="shared" si="0"/>
        <v>374</v>
      </c>
      <c r="G18">
        <f t="shared" si="5"/>
        <v>11520</v>
      </c>
      <c r="H18">
        <f>C18*100</f>
        <v>2200</v>
      </c>
      <c r="I18">
        <f>D18*250</f>
        <v>1000</v>
      </c>
      <c r="J18">
        <f t="shared" si="6"/>
        <v>1200</v>
      </c>
      <c r="K18">
        <f>SUM(G18:J18)</f>
        <v>15920</v>
      </c>
      <c r="L18" s="1">
        <v>196</v>
      </c>
      <c r="M18" s="2">
        <f t="shared" si="2"/>
        <v>13239.591836734693</v>
      </c>
      <c r="N18">
        <f t="shared" si="3"/>
        <v>1870</v>
      </c>
      <c r="O18" s="2">
        <f t="shared" si="7"/>
        <v>1413.9489795918366</v>
      </c>
      <c r="P18" s="4">
        <f t="shared" si="8"/>
        <v>0.6233078401701362</v>
      </c>
    </row>
    <row r="19" spans="12:14" ht="12.75">
      <c r="L19" t="s">
        <v>71</v>
      </c>
      <c r="N19" s="2"/>
    </row>
    <row r="20" spans="1:14" ht="12.75">
      <c r="A20" t="s">
        <v>6</v>
      </c>
      <c r="M20" s="4"/>
      <c r="N20" s="2"/>
    </row>
    <row r="21" spans="1:19" ht="12.75">
      <c r="A21">
        <v>1998</v>
      </c>
      <c r="B21" s="4">
        <v>1</v>
      </c>
      <c r="C21" s="4">
        <v>1</v>
      </c>
      <c r="D21" s="4"/>
      <c r="E21" s="4">
        <v>1</v>
      </c>
      <c r="F21" s="4">
        <v>1</v>
      </c>
      <c r="M21" s="4">
        <f aca="true" t="shared" si="9" ref="M21:M28">M11/M$11</f>
        <v>1</v>
      </c>
      <c r="Q21" s="4">
        <v>1</v>
      </c>
      <c r="R21" s="4">
        <v>1</v>
      </c>
      <c r="S21" s="4">
        <v>1</v>
      </c>
    </row>
    <row r="22" spans="1:19" ht="12.75">
      <c r="A22">
        <v>1999</v>
      </c>
      <c r="B22" s="4">
        <f aca="true" t="shared" si="10" ref="B22:F26">B12/B$11</f>
        <v>0.927461139896373</v>
      </c>
      <c r="C22" s="4">
        <f t="shared" si="10"/>
        <v>0.8913043478260869</v>
      </c>
      <c r="D22" s="4"/>
      <c r="E22" s="4">
        <f t="shared" si="10"/>
        <v>0.8656716417910447</v>
      </c>
      <c r="F22" s="4">
        <f t="shared" si="10"/>
        <v>0.9158316633266533</v>
      </c>
      <c r="M22" s="4">
        <f t="shared" si="9"/>
        <v>1.2011441924537067</v>
      </c>
      <c r="Q22" s="4">
        <f aca="true" t="shared" si="11" ref="Q22:S26">Q12/Q$11</f>
        <v>0.9856495468277946</v>
      </c>
      <c r="R22" s="4">
        <f t="shared" si="11"/>
        <v>0.9633569739952719</v>
      </c>
      <c r="S22" s="4">
        <f t="shared" si="11"/>
        <v>0.96796875</v>
      </c>
    </row>
    <row r="23" spans="1:19" ht="12.75">
      <c r="A23">
        <v>2000</v>
      </c>
      <c r="B23" s="4">
        <f t="shared" si="10"/>
        <v>0.8678756476683938</v>
      </c>
      <c r="C23" s="4">
        <f t="shared" si="10"/>
        <v>0.8043478260869565</v>
      </c>
      <c r="D23" s="4"/>
      <c r="E23" s="4">
        <f t="shared" si="10"/>
        <v>0.582089552238806</v>
      </c>
      <c r="F23" s="4">
        <f t="shared" si="10"/>
        <v>0.8236472945891784</v>
      </c>
      <c r="M23" s="4">
        <f t="shared" si="9"/>
        <v>1.06217359051611</v>
      </c>
      <c r="Q23" s="4">
        <f t="shared" si="11"/>
        <v>0.8534743202416919</v>
      </c>
      <c r="R23" s="4">
        <f t="shared" si="11"/>
        <v>0.8938140267927502</v>
      </c>
      <c r="S23" s="4">
        <f t="shared" si="11"/>
        <v>0.88546875</v>
      </c>
    </row>
    <row r="24" spans="1:19" ht="12.75">
      <c r="A24">
        <v>2001</v>
      </c>
      <c r="B24" s="4">
        <f t="shared" si="10"/>
        <v>0.8989637305699482</v>
      </c>
      <c r="C24" s="4">
        <f t="shared" si="10"/>
        <v>0.6739130434782609</v>
      </c>
      <c r="D24" s="4"/>
      <c r="E24" s="4">
        <f t="shared" si="10"/>
        <v>0.7611940298507462</v>
      </c>
      <c r="F24" s="4">
        <f t="shared" si="10"/>
        <v>0.8597194388777555</v>
      </c>
      <c r="M24" s="4">
        <f t="shared" si="9"/>
        <v>1.0533352333375867</v>
      </c>
      <c r="Q24" s="4">
        <f t="shared" si="11"/>
        <v>0.9871601208459214</v>
      </c>
      <c r="R24" s="4">
        <f t="shared" si="11"/>
        <v>0.8632781717888101</v>
      </c>
      <c r="S24" s="4">
        <f t="shared" si="11"/>
        <v>0.88890625</v>
      </c>
    </row>
    <row r="25" spans="1:19" ht="12.75">
      <c r="A25">
        <v>2002</v>
      </c>
      <c r="B25" s="4">
        <f t="shared" si="10"/>
        <v>0.7512953367875648</v>
      </c>
      <c r="C25" s="4">
        <f t="shared" si="10"/>
        <v>0.7608695652173914</v>
      </c>
      <c r="D25" s="4"/>
      <c r="E25" s="4">
        <f t="shared" si="10"/>
        <v>0.6865671641791045</v>
      </c>
      <c r="F25" s="4">
        <f t="shared" si="10"/>
        <v>0.7434869739478958</v>
      </c>
      <c r="M25" s="4">
        <f t="shared" si="9"/>
        <v>0.9069784672134046</v>
      </c>
      <c r="Q25" s="4">
        <f t="shared" si="11"/>
        <v>0.9901812688821753</v>
      </c>
      <c r="R25" s="4">
        <f t="shared" si="11"/>
        <v>0.8764775413711584</v>
      </c>
      <c r="S25" s="4">
        <f t="shared" si="11"/>
        <v>0.9</v>
      </c>
    </row>
    <row r="26" spans="1:19" ht="12.75">
      <c r="A26">
        <v>2003</v>
      </c>
      <c r="B26" s="4">
        <f t="shared" si="10"/>
        <v>0.6632124352331606</v>
      </c>
      <c r="C26" s="4">
        <f t="shared" si="10"/>
        <v>0.6086956521739131</v>
      </c>
      <c r="D26" s="4"/>
      <c r="E26" s="4">
        <f t="shared" si="10"/>
        <v>0.5522388059701493</v>
      </c>
      <c r="F26" s="4">
        <f t="shared" si="10"/>
        <v>0.6432865731462926</v>
      </c>
      <c r="M26" s="4">
        <f t="shared" si="9"/>
        <v>0.7671942107430723</v>
      </c>
      <c r="Q26" s="4">
        <f t="shared" si="11"/>
        <v>0.9622356495468278</v>
      </c>
      <c r="R26" s="4">
        <f t="shared" si="11"/>
        <v>0.8378644602048857</v>
      </c>
      <c r="S26" s="4">
        <f t="shared" si="11"/>
        <v>0.86359375</v>
      </c>
    </row>
    <row r="27" spans="1:13" ht="12.75">
      <c r="A27">
        <v>2004</v>
      </c>
      <c r="B27" s="4">
        <f>B17/B$11</f>
        <v>0.7409326424870466</v>
      </c>
      <c r="C27" s="4">
        <f>C17/C$11</f>
        <v>0.4782608695652174</v>
      </c>
      <c r="D27" s="4"/>
      <c r="E27" s="4">
        <f>E17/E$11</f>
        <v>0.7611940298507462</v>
      </c>
      <c r="F27" s="4">
        <f>F17/F$11</f>
        <v>0.7234468937875751</v>
      </c>
      <c r="M27" s="4">
        <f t="shared" si="9"/>
        <v>0.8850756928331605</v>
      </c>
    </row>
    <row r="28" spans="1:13" ht="12.75">
      <c r="A28">
        <v>2005</v>
      </c>
      <c r="B28" s="4">
        <f>B18/B$11</f>
        <v>0.7461139896373057</v>
      </c>
      <c r="C28" s="4">
        <f>C18/C$11</f>
        <v>0.4782608695652174</v>
      </c>
      <c r="D28" s="4"/>
      <c r="E28" s="4">
        <f>E18/E$11</f>
        <v>0.8955223880597015</v>
      </c>
      <c r="F28" s="4">
        <f>F18/F$11</f>
        <v>0.749498997995992</v>
      </c>
      <c r="G28" s="4"/>
      <c r="H28" s="4"/>
      <c r="I28" s="4"/>
      <c r="J28" s="4"/>
      <c r="M28" s="4">
        <f t="shared" si="9"/>
        <v>0.8957775261660821</v>
      </c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5" ht="12.75">
      <c r="A35" s="3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L44" s="1"/>
    </row>
  </sheetData>
  <printOptions gridLines="1"/>
  <pageMargins left="0.78" right="0.45" top="0.62" bottom="0.59" header="0.5" footer="0.5"/>
  <pageSetup horizontalDpi="300" verticalDpi="3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E7" sqref="E7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9</v>
      </c>
    </row>
    <row r="2" ht="12.75">
      <c r="D2" t="s">
        <v>10</v>
      </c>
    </row>
    <row r="3" spans="1:5" ht="12.75">
      <c r="A3" t="s">
        <v>12</v>
      </c>
      <c r="B3" t="s">
        <v>16</v>
      </c>
      <c r="C3" t="s">
        <v>17</v>
      </c>
      <c r="D3" t="s">
        <v>16</v>
      </c>
      <c r="E3" t="s">
        <v>17</v>
      </c>
    </row>
    <row r="4" spans="2:5" ht="12.75">
      <c r="B4" t="s">
        <v>20</v>
      </c>
      <c r="C4" t="s">
        <v>20</v>
      </c>
      <c r="D4" t="s">
        <v>20</v>
      </c>
      <c r="E4" t="s">
        <v>20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6" ht="12.75">
      <c r="A12">
        <v>2001</v>
      </c>
      <c r="B12">
        <v>724</v>
      </c>
      <c r="C12">
        <v>751</v>
      </c>
      <c r="D12">
        <v>724</v>
      </c>
      <c r="E12">
        <v>751</v>
      </c>
      <c r="F12" t="s">
        <v>112</v>
      </c>
    </row>
    <row r="13" spans="1:6" ht="12.75">
      <c r="A13">
        <v>2002</v>
      </c>
      <c r="C13">
        <v>675</v>
      </c>
      <c r="D13">
        <v>635</v>
      </c>
      <c r="E13">
        <v>675</v>
      </c>
      <c r="F13" t="s">
        <v>112</v>
      </c>
    </row>
    <row r="14" spans="1:6" ht="12.75">
      <c r="A14">
        <v>2003</v>
      </c>
      <c r="C14">
        <v>506</v>
      </c>
      <c r="D14">
        <v>483</v>
      </c>
      <c r="E14">
        <v>506</v>
      </c>
      <c r="F14" t="s">
        <v>112</v>
      </c>
    </row>
    <row r="15" spans="1:6" ht="12.75">
      <c r="A15">
        <v>2004</v>
      </c>
      <c r="C15" s="2">
        <v>639</v>
      </c>
      <c r="D15">
        <v>597</v>
      </c>
      <c r="E15">
        <v>639</v>
      </c>
      <c r="F15" t="s">
        <v>112</v>
      </c>
    </row>
    <row r="16" spans="1:6" ht="12.75">
      <c r="A16">
        <v>2005</v>
      </c>
      <c r="C16">
        <v>565</v>
      </c>
      <c r="D16">
        <v>527</v>
      </c>
      <c r="E16">
        <v>565</v>
      </c>
      <c r="F16" t="s">
        <v>112</v>
      </c>
    </row>
    <row r="19" spans="2:5" ht="12.75">
      <c r="B19" t="s">
        <v>37</v>
      </c>
      <c r="D19" s="8" t="s">
        <v>36</v>
      </c>
      <c r="E19" s="2">
        <f>AVERAGE(E5:E11)</f>
        <v>486.7857142857143</v>
      </c>
    </row>
    <row r="20" spans="2:6" ht="12.75">
      <c r="B20" t="s">
        <v>35</v>
      </c>
      <c r="D20" s="8" t="s">
        <v>36</v>
      </c>
      <c r="E20" s="2">
        <f>AVERAGE(E5:E16)</f>
        <v>545.2916666666666</v>
      </c>
      <c r="F20" s="2"/>
    </row>
    <row r="21" spans="2:6" ht="12.75">
      <c r="B21" t="s">
        <v>38</v>
      </c>
      <c r="D21" s="2">
        <f>AVERAGE(D12:D16)</f>
        <v>593.2</v>
      </c>
      <c r="E21" s="2">
        <f>AVERAGE(E12:E16)</f>
        <v>627.2</v>
      </c>
      <c r="F21" s="2"/>
    </row>
    <row r="23" spans="3:5" ht="12.75">
      <c r="C23" s="8" t="s">
        <v>111</v>
      </c>
      <c r="D23" s="2">
        <f>SUM(C5:C16)</f>
        <v>7225</v>
      </c>
      <c r="E23" s="2"/>
    </row>
    <row r="25" ht="12.75">
      <c r="F25" s="7"/>
    </row>
    <row r="27" ht="12.75">
      <c r="F27" s="7"/>
    </row>
    <row r="30" ht="12.75">
      <c r="F30" s="2"/>
    </row>
    <row r="38" ht="12.75">
      <c r="F38" t="s">
        <v>117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G1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59</v>
      </c>
    </row>
    <row r="2" spans="6:15" ht="12.75">
      <c r="F2" t="s">
        <v>31</v>
      </c>
      <c r="G2" s="4" t="s">
        <v>65</v>
      </c>
      <c r="H2" s="4" t="s">
        <v>67</v>
      </c>
      <c r="K2" t="s">
        <v>62</v>
      </c>
      <c r="L2" t="s">
        <v>62</v>
      </c>
      <c r="M2" t="s">
        <v>31</v>
      </c>
      <c r="N2" t="s">
        <v>13</v>
      </c>
      <c r="O2" t="s">
        <v>70</v>
      </c>
    </row>
    <row r="3" spans="2:15" ht="12.75">
      <c r="B3" t="s">
        <v>60</v>
      </c>
      <c r="C3" t="s">
        <v>61</v>
      </c>
      <c r="D3" t="s">
        <v>28</v>
      </c>
      <c r="E3" t="s">
        <v>4</v>
      </c>
      <c r="F3" t="s">
        <v>20</v>
      </c>
      <c r="G3" s="4" t="s">
        <v>68</v>
      </c>
      <c r="H3" s="4" t="s">
        <v>66</v>
      </c>
      <c r="J3" t="s">
        <v>11</v>
      </c>
      <c r="K3" t="s">
        <v>63</v>
      </c>
      <c r="L3" t="s">
        <v>64</v>
      </c>
      <c r="M3" t="s">
        <v>20</v>
      </c>
      <c r="N3" t="s">
        <v>69</v>
      </c>
      <c r="O3" t="s">
        <v>69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23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24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25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26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23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24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25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26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23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24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25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26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C26">
      <selection activeCell="O37" sqref="O37"/>
    </sheetView>
  </sheetViews>
  <sheetFormatPr defaultColWidth="9.140625" defaultRowHeight="12.75"/>
  <cols>
    <col min="1" max="1" width="29.57421875" style="0" customWidth="1"/>
    <col min="2" max="2" width="8.8515625" style="0" customWidth="1"/>
    <col min="3" max="3" width="7.8515625" style="0" customWidth="1"/>
    <col min="5" max="5" width="9.421875" style="0" customWidth="1"/>
    <col min="6" max="6" width="7.57421875" style="0" customWidth="1"/>
    <col min="7" max="7" width="6.8515625" style="2" customWidth="1"/>
    <col min="8" max="8" width="11.421875" style="2" customWidth="1"/>
    <col min="9" max="9" width="11.7109375" style="2" customWidth="1"/>
    <col min="10" max="10" width="6.28125" style="0" customWidth="1"/>
    <col min="11" max="11" width="9.00390625" style="0" customWidth="1"/>
    <col min="12" max="12" width="7.8515625" style="0" customWidth="1"/>
    <col min="13" max="13" width="6.7109375" style="0" customWidth="1"/>
    <col min="18" max="18" width="9.8515625" style="0" customWidth="1"/>
    <col min="20" max="20" width="11.28125" style="0" customWidth="1"/>
    <col min="24" max="24" width="9.140625" style="4" customWidth="1"/>
  </cols>
  <sheetData>
    <row r="1" ht="18.75">
      <c r="A1" s="25" t="s">
        <v>116</v>
      </c>
    </row>
    <row r="2" ht="12.75">
      <c r="B2" t="s">
        <v>87</v>
      </c>
    </row>
    <row r="3" spans="1:15" ht="12.75">
      <c r="A3" s="3" t="s">
        <v>83</v>
      </c>
      <c r="B3" s="12">
        <v>2003</v>
      </c>
      <c r="C3" s="12">
        <v>2004</v>
      </c>
      <c r="D3" s="12">
        <v>2005</v>
      </c>
      <c r="E3" s="12" t="s">
        <v>89</v>
      </c>
      <c r="F3" s="21"/>
      <c r="G3" s="21"/>
      <c r="H3" s="21"/>
      <c r="I3" s="20"/>
      <c r="J3" s="21"/>
      <c r="K3" s="21"/>
      <c r="L3" s="20"/>
      <c r="M3" s="20"/>
      <c r="N3" s="21"/>
      <c r="O3" s="21"/>
    </row>
    <row r="4" spans="1:15" ht="12.75">
      <c r="A4" s="26" t="s">
        <v>125</v>
      </c>
      <c r="B4" s="28">
        <f>42354-6650</f>
        <v>35704</v>
      </c>
      <c r="C4" s="28">
        <f>52324-9050</f>
        <v>43274</v>
      </c>
      <c r="D4" s="28">
        <f>47136-7400</f>
        <v>39736</v>
      </c>
      <c r="E4" s="28">
        <f aca="true" t="shared" si="0" ref="E4:E9">AVERAGE(B4:D4)</f>
        <v>39571.333333333336</v>
      </c>
      <c r="F4" s="21"/>
      <c r="G4" s="21"/>
      <c r="H4" s="21"/>
      <c r="I4" s="21"/>
      <c r="J4" s="21"/>
      <c r="K4" s="21"/>
      <c r="L4" s="21"/>
      <c r="M4" s="20"/>
      <c r="N4" s="21"/>
      <c r="O4" s="21"/>
    </row>
    <row r="5" spans="1:15" ht="12.75">
      <c r="A5" s="26" t="s">
        <v>124</v>
      </c>
      <c r="B5" s="28">
        <v>6650</v>
      </c>
      <c r="C5" s="28">
        <v>9050</v>
      </c>
      <c r="D5" s="28">
        <v>7400</v>
      </c>
      <c r="E5" s="28">
        <f t="shared" si="0"/>
        <v>7700</v>
      </c>
      <c r="F5" s="21"/>
      <c r="G5" s="21"/>
      <c r="H5" s="21"/>
      <c r="I5" s="21"/>
      <c r="J5" s="21"/>
      <c r="K5" s="21"/>
      <c r="L5" s="21"/>
      <c r="M5" s="20"/>
      <c r="N5" s="21"/>
      <c r="O5" s="21"/>
    </row>
    <row r="6" spans="1:15" ht="12.75">
      <c r="A6" t="s">
        <v>84</v>
      </c>
      <c r="B6" s="27">
        <v>5600</v>
      </c>
      <c r="C6" s="2">
        <v>6800</v>
      </c>
      <c r="D6" s="2">
        <v>6300</v>
      </c>
      <c r="E6" s="28">
        <f t="shared" si="0"/>
        <v>6233.333333333333</v>
      </c>
      <c r="F6" s="18"/>
      <c r="G6" s="18"/>
      <c r="H6" s="18"/>
      <c r="K6" s="17"/>
      <c r="L6" s="19"/>
      <c r="M6" s="18"/>
      <c r="O6" s="22"/>
    </row>
    <row r="7" spans="1:15" ht="12.75">
      <c r="A7" t="s">
        <v>85</v>
      </c>
      <c r="B7" s="27">
        <v>1605</v>
      </c>
      <c r="C7" s="2">
        <v>1805</v>
      </c>
      <c r="D7" s="2">
        <v>1870</v>
      </c>
      <c r="E7" s="28">
        <f t="shared" si="0"/>
        <v>1760</v>
      </c>
      <c r="F7" s="18"/>
      <c r="G7" s="18"/>
      <c r="H7" s="18"/>
      <c r="K7" s="17"/>
      <c r="L7" s="19"/>
      <c r="M7" s="18"/>
      <c r="O7" s="22"/>
    </row>
    <row r="8" spans="1:15" ht="12.75">
      <c r="A8" t="s">
        <v>86</v>
      </c>
      <c r="B8" s="29">
        <v>0</v>
      </c>
      <c r="C8" s="2">
        <v>1377</v>
      </c>
      <c r="D8" s="2">
        <v>200</v>
      </c>
      <c r="E8" s="28">
        <f t="shared" si="0"/>
        <v>525.6666666666666</v>
      </c>
      <c r="F8" s="17"/>
      <c r="G8" s="17"/>
      <c r="H8" s="17"/>
      <c r="K8" s="17"/>
      <c r="L8" s="19"/>
      <c r="M8" s="17"/>
      <c r="O8" s="24"/>
    </row>
    <row r="9" spans="1:22" ht="12.75">
      <c r="A9" t="s">
        <v>88</v>
      </c>
      <c r="B9" s="30">
        <f>SUM(B4:B8)</f>
        <v>49559</v>
      </c>
      <c r="C9" s="30">
        <f>SUM(C4:C8)</f>
        <v>62306</v>
      </c>
      <c r="D9" s="30">
        <f>SUM(D4:D8)</f>
        <v>55506</v>
      </c>
      <c r="E9" s="28">
        <f t="shared" si="0"/>
        <v>55790.333333333336</v>
      </c>
      <c r="F9" s="17"/>
      <c r="G9" s="17"/>
      <c r="H9" s="17"/>
      <c r="K9" s="17"/>
      <c r="L9" s="19"/>
      <c r="M9" s="17"/>
      <c r="O9" s="24"/>
      <c r="V9" s="4"/>
    </row>
    <row r="10" spans="2:22" ht="12.75">
      <c r="B10" s="16"/>
      <c r="C10" s="17"/>
      <c r="D10" s="17"/>
      <c r="E10" s="23"/>
      <c r="F10" s="17"/>
      <c r="G10" s="17"/>
      <c r="H10" s="17"/>
      <c r="K10" s="17"/>
      <c r="L10" s="19"/>
      <c r="M10" s="17"/>
      <c r="O10" s="24"/>
      <c r="V10" s="4"/>
    </row>
    <row r="11" spans="1:22" ht="12.75">
      <c r="A11" s="26" t="s">
        <v>125</v>
      </c>
      <c r="B11" s="31">
        <f>B4*100/$B$9</f>
        <v>72.04342299077867</v>
      </c>
      <c r="C11" s="31">
        <f>C4*100/$C$9</f>
        <v>69.45398516996758</v>
      </c>
      <c r="D11" s="31">
        <f>D4*100/$D$9</f>
        <v>71.58865708211725</v>
      </c>
      <c r="E11" s="31">
        <f>E4*100/$E$9</f>
        <v>70.92865550184918</v>
      </c>
      <c r="F11" s="17">
        <f>E11</f>
        <v>70.92865550184918</v>
      </c>
      <c r="G11" s="17"/>
      <c r="H11" s="17"/>
      <c r="K11" s="17"/>
      <c r="L11" s="19"/>
      <c r="M11" s="17"/>
      <c r="O11" s="24"/>
      <c r="V11" s="4"/>
    </row>
    <row r="12" spans="1:22" ht="12.75">
      <c r="A12" s="26" t="s">
        <v>124</v>
      </c>
      <c r="B12" s="31">
        <f>B5*100/$B$9</f>
        <v>13.418349845638533</v>
      </c>
      <c r="C12" s="31">
        <f>C5*100/$C$9</f>
        <v>14.525085866529707</v>
      </c>
      <c r="D12" s="31">
        <f>D5*100/$D$9</f>
        <v>13.331892047706555</v>
      </c>
      <c r="E12" s="31">
        <f>E5*100/$E$9</f>
        <v>13.801674125147128</v>
      </c>
      <c r="F12" s="17">
        <v>14</v>
      </c>
      <c r="G12" s="17"/>
      <c r="H12" s="17"/>
      <c r="K12" s="17"/>
      <c r="L12" s="19"/>
      <c r="M12" s="17"/>
      <c r="O12" s="24"/>
      <c r="V12" s="4"/>
    </row>
    <row r="13" spans="1:22" ht="12.75">
      <c r="A13" t="s">
        <v>84</v>
      </c>
      <c r="B13" s="31">
        <f>B6*100/$B$9</f>
        <v>11.299663027906131</v>
      </c>
      <c r="C13" s="31">
        <f>C6*100/$C$9</f>
        <v>10.913876673193593</v>
      </c>
      <c r="D13" s="31">
        <f>D6*100/$D$9</f>
        <v>11.35012431088531</v>
      </c>
      <c r="E13" s="31">
        <f>E6*100/$E$9</f>
        <v>11.172783815595292</v>
      </c>
      <c r="F13" s="17">
        <f>E13</f>
        <v>11.172783815595292</v>
      </c>
      <c r="G13" s="17"/>
      <c r="H13" s="17"/>
      <c r="K13" s="17"/>
      <c r="L13" s="19"/>
      <c r="M13" s="17"/>
      <c r="O13" s="24"/>
      <c r="V13" s="4"/>
    </row>
    <row r="14" spans="1:22" ht="12.75">
      <c r="A14" t="s">
        <v>85</v>
      </c>
      <c r="B14" s="31">
        <f>B7*100/$B$9</f>
        <v>3.2385641356766683</v>
      </c>
      <c r="C14" s="31">
        <f>C7*100/$C$9</f>
        <v>2.896992263987417</v>
      </c>
      <c r="D14" s="31">
        <f>D7*100/$D$9</f>
        <v>3.3690051525961158</v>
      </c>
      <c r="E14" s="31">
        <f>E7*100/$E$9</f>
        <v>3.1546683714622006</v>
      </c>
      <c r="F14" s="17">
        <f>E14</f>
        <v>3.1546683714622006</v>
      </c>
      <c r="G14" s="17"/>
      <c r="H14" s="17"/>
      <c r="I14" s="17"/>
      <c r="J14" s="17"/>
      <c r="K14" s="17"/>
      <c r="L14" s="17"/>
      <c r="M14" s="17"/>
      <c r="N14" s="17"/>
      <c r="O14" s="17"/>
      <c r="V14" s="4"/>
    </row>
    <row r="15" spans="1:22" ht="12.75">
      <c r="A15" t="s">
        <v>96</v>
      </c>
      <c r="B15" s="31">
        <f>B8*100/$B$9</f>
        <v>0</v>
      </c>
      <c r="C15" s="31">
        <f>C8*100/$C$9</f>
        <v>2.2100600263217025</v>
      </c>
      <c r="D15" s="31">
        <f>D8*100/$D$9</f>
        <v>0.36032140669477175</v>
      </c>
      <c r="E15" s="31">
        <f>E8*100/$E$9</f>
        <v>0.9422181859461913</v>
      </c>
      <c r="F15" s="17">
        <f>E15</f>
        <v>0.9422181859461913</v>
      </c>
      <c r="G15" s="17"/>
      <c r="H15" s="17"/>
      <c r="K15" s="17"/>
      <c r="L15" s="19"/>
      <c r="O15" s="24"/>
      <c r="U15" s="1"/>
      <c r="V15" s="4"/>
    </row>
    <row r="16" spans="1:22" ht="12.75">
      <c r="A16" t="s">
        <v>88</v>
      </c>
      <c r="B16" s="31">
        <f>SUM(B11:B15)</f>
        <v>100</v>
      </c>
      <c r="C16" s="31">
        <f>SUM(C11:C15)</f>
        <v>100</v>
      </c>
      <c r="D16" s="31">
        <f>SUM(D11:D15)</f>
        <v>100</v>
      </c>
      <c r="E16" s="31">
        <f>SUM(E11:E15)</f>
        <v>100</v>
      </c>
      <c r="F16" s="17"/>
      <c r="G16" s="17"/>
      <c r="H16" s="17"/>
      <c r="K16" s="17"/>
      <c r="O16" s="2"/>
      <c r="V16" s="4"/>
    </row>
    <row r="17" spans="2:22" ht="12.75">
      <c r="B17" s="31"/>
      <c r="C17" s="1"/>
      <c r="D17" s="1"/>
      <c r="E17" s="9"/>
      <c r="F17" s="17"/>
      <c r="G17" s="17"/>
      <c r="H17" s="17"/>
      <c r="K17" s="17"/>
      <c r="Q17" s="6"/>
      <c r="V17" s="4"/>
    </row>
    <row r="18" spans="1:22" ht="12.75">
      <c r="A18" s="3" t="s">
        <v>90</v>
      </c>
      <c r="B18" s="12">
        <v>2003</v>
      </c>
      <c r="C18" s="12">
        <v>2004</v>
      </c>
      <c r="D18" s="12">
        <v>2005</v>
      </c>
      <c r="E18" s="12" t="s">
        <v>89</v>
      </c>
      <c r="F18" s="2"/>
      <c r="I18"/>
      <c r="L18" s="18"/>
      <c r="V18" s="4"/>
    </row>
    <row r="19" spans="1:22" ht="12.75">
      <c r="A19" t="s">
        <v>91</v>
      </c>
      <c r="B19" s="2">
        <v>34834</v>
      </c>
      <c r="C19" s="2">
        <v>38980</v>
      </c>
      <c r="D19" s="2">
        <v>35828</v>
      </c>
      <c r="E19" s="28">
        <f aca="true" t="shared" si="1" ref="E19:E24">AVERAGE(B19:D19)</f>
        <v>36547.333333333336</v>
      </c>
      <c r="F19" s="2"/>
      <c r="I19" s="3"/>
      <c r="L19" s="18"/>
      <c r="V19" s="4"/>
    </row>
    <row r="20" spans="1:22" ht="12.75">
      <c r="A20" t="s">
        <v>92</v>
      </c>
      <c r="B20" s="2">
        <v>3725</v>
      </c>
      <c r="C20" s="2">
        <v>4333</v>
      </c>
      <c r="D20" s="2">
        <v>4509</v>
      </c>
      <c r="E20" s="28">
        <f t="shared" si="1"/>
        <v>4189</v>
      </c>
      <c r="O20" s="7"/>
      <c r="V20" s="4"/>
    </row>
    <row r="21" spans="1:25" ht="12.75">
      <c r="A21" s="26" t="s">
        <v>93</v>
      </c>
      <c r="B21" s="2">
        <v>600</v>
      </c>
      <c r="C21" s="2">
        <v>860</v>
      </c>
      <c r="D21" s="2">
        <v>600</v>
      </c>
      <c r="E21" s="28">
        <f t="shared" si="1"/>
        <v>686.6666666666666</v>
      </c>
      <c r="O21" s="7"/>
      <c r="U21" s="1"/>
      <c r="V21" s="4"/>
      <c r="Y21" s="4"/>
    </row>
    <row r="22" spans="1:22" ht="12.75">
      <c r="A22" s="5" t="s">
        <v>94</v>
      </c>
      <c r="B22" s="2">
        <v>3856</v>
      </c>
      <c r="C22" s="2">
        <v>4039</v>
      </c>
      <c r="D22" s="2">
        <v>4100</v>
      </c>
      <c r="E22" s="28">
        <f t="shared" si="1"/>
        <v>3998.3333333333335</v>
      </c>
      <c r="O22" s="2"/>
      <c r="V22" s="4"/>
    </row>
    <row r="23" spans="1:5" ht="12.75">
      <c r="A23" t="s">
        <v>95</v>
      </c>
      <c r="B23" s="2">
        <v>5500</v>
      </c>
      <c r="C23" s="2">
        <v>5688</v>
      </c>
      <c r="D23" s="2">
        <v>5750</v>
      </c>
      <c r="E23" s="28">
        <f t="shared" si="1"/>
        <v>5646</v>
      </c>
    </row>
    <row r="24" spans="1:5" ht="12.75">
      <c r="A24" t="s">
        <v>88</v>
      </c>
      <c r="B24" s="30">
        <f>SUM(B19:B23)</f>
        <v>48515</v>
      </c>
      <c r="C24" s="30">
        <f>SUM(C19:C23)</f>
        <v>53900</v>
      </c>
      <c r="D24" s="30">
        <f>SUM(D19:D23)</f>
        <v>50787</v>
      </c>
      <c r="E24" s="28">
        <f t="shared" si="1"/>
        <v>51067.333333333336</v>
      </c>
    </row>
    <row r="25" spans="2:4" ht="12.75">
      <c r="B25" s="1"/>
      <c r="C25" s="1"/>
      <c r="D25" s="1"/>
    </row>
    <row r="26" spans="1:6" ht="12.75">
      <c r="A26" t="s">
        <v>91</v>
      </c>
      <c r="B26" s="31">
        <f>B19*100/$B$24</f>
        <v>71.80047408018139</v>
      </c>
      <c r="C26" s="31">
        <f>C19*100/$C$24</f>
        <v>72.3191094619666</v>
      </c>
      <c r="D26" s="31">
        <f>D19*100/$D$24</f>
        <v>70.5456120660799</v>
      </c>
      <c r="E26" s="31">
        <f>E19*100/$E$24</f>
        <v>71.5669508230963</v>
      </c>
      <c r="F26" s="17">
        <f>E26</f>
        <v>71.5669508230963</v>
      </c>
    </row>
    <row r="27" spans="1:6" ht="12.75">
      <c r="A27" t="s">
        <v>92</v>
      </c>
      <c r="B27" s="31">
        <f>B20*100/$B$24</f>
        <v>7.678037720292693</v>
      </c>
      <c r="C27" s="31">
        <f>C20*100/$C$24</f>
        <v>8.03896103896104</v>
      </c>
      <c r="D27" s="31">
        <f>D20*100/$D$24</f>
        <v>8.8782562466773</v>
      </c>
      <c r="E27" s="31">
        <f>E20*100/$E$24</f>
        <v>8.202895523557133</v>
      </c>
      <c r="F27" s="17">
        <f>E27</f>
        <v>8.202895523557133</v>
      </c>
    </row>
    <row r="28" spans="1:6" ht="12.75">
      <c r="A28" s="26" t="s">
        <v>93</v>
      </c>
      <c r="B28" s="31">
        <f>B21*100/$B$24</f>
        <v>1.2367309079666082</v>
      </c>
      <c r="C28" s="31">
        <f>C21*100/$C$24</f>
        <v>1.5955473098330242</v>
      </c>
      <c r="D28" s="31">
        <f>D21*100/$D$24</f>
        <v>1.18140469017662</v>
      </c>
      <c r="E28" s="31">
        <f>E21*100/$E$24</f>
        <v>1.3446299656662444</v>
      </c>
      <c r="F28" s="17">
        <f>E28</f>
        <v>1.3446299656662444</v>
      </c>
    </row>
    <row r="29" spans="1:6" ht="12.75">
      <c r="A29" s="5" t="s">
        <v>94</v>
      </c>
      <c r="B29" s="31">
        <f>B22*100/$B$24</f>
        <v>7.948057301865402</v>
      </c>
      <c r="C29" s="31">
        <f>C22*100/$C$24</f>
        <v>7.4935064935064934</v>
      </c>
      <c r="D29" s="31">
        <f>D22*100/$D$24</f>
        <v>8.072932049540237</v>
      </c>
      <c r="E29" s="31">
        <f>E22*100/$E$24</f>
        <v>7.829532251537187</v>
      </c>
      <c r="F29" s="17">
        <f>E29</f>
        <v>7.829532251537187</v>
      </c>
    </row>
    <row r="30" spans="1:6" ht="12.75">
      <c r="A30" t="s">
        <v>95</v>
      </c>
      <c r="B30" s="31">
        <f>B23*100/$B$24</f>
        <v>11.336699989693908</v>
      </c>
      <c r="C30" s="31">
        <f>C23*100/$C$24</f>
        <v>10.552875695732839</v>
      </c>
      <c r="D30" s="31">
        <f>D23*100/$D$24</f>
        <v>11.321794947525941</v>
      </c>
      <c r="E30" s="31">
        <f>E23*100/$E$24</f>
        <v>11.055991436143131</v>
      </c>
      <c r="F30" s="17">
        <f>E30</f>
        <v>11.055991436143131</v>
      </c>
    </row>
    <row r="31" spans="1:6" ht="12.75">
      <c r="A31" t="s">
        <v>88</v>
      </c>
      <c r="B31" s="2">
        <f>SUM(B26:B30)</f>
        <v>100</v>
      </c>
      <c r="C31" s="2">
        <f>SUM(C26:C30)</f>
        <v>99.99999999999999</v>
      </c>
      <c r="D31" s="2">
        <f>SUM(D26:D30)</f>
        <v>100</v>
      </c>
      <c r="E31" s="2">
        <f>SUM(E26:E30)</f>
        <v>100</v>
      </c>
      <c r="F31" s="2"/>
    </row>
    <row r="32" spans="1:4" ht="12.75">
      <c r="A32" s="5"/>
      <c r="B32" s="4"/>
      <c r="D32" s="4"/>
    </row>
    <row r="33" spans="1:6" ht="12.75">
      <c r="A33" t="s">
        <v>97</v>
      </c>
      <c r="B33" s="4"/>
      <c r="E33" s="1">
        <f>E26+E28</f>
        <v>72.91158078876255</v>
      </c>
      <c r="F33" s="17">
        <f>E33</f>
        <v>72.91158078876255</v>
      </c>
    </row>
    <row r="34" spans="1:6" ht="12.75">
      <c r="A34" s="5" t="s">
        <v>98</v>
      </c>
      <c r="E34" s="1">
        <f>E27</f>
        <v>8.202895523557133</v>
      </c>
      <c r="F34" s="17">
        <f>E34</f>
        <v>8.202895523557133</v>
      </c>
    </row>
    <row r="35" spans="1:6" ht="12.75">
      <c r="A35" t="s">
        <v>99</v>
      </c>
      <c r="E35" s="1">
        <f>E29</f>
        <v>7.829532251537187</v>
      </c>
      <c r="F35" s="17">
        <f>E35</f>
        <v>7.829532251537187</v>
      </c>
    </row>
    <row r="36" spans="1:6" ht="12.75">
      <c r="A36" s="5" t="s">
        <v>100</v>
      </c>
      <c r="E36" s="1">
        <f>E30</f>
        <v>11.055991436143131</v>
      </c>
      <c r="F36" s="17">
        <f>E36</f>
        <v>11.055991436143131</v>
      </c>
    </row>
    <row r="38" ht="12.75">
      <c r="A38" s="3" t="s">
        <v>115</v>
      </c>
    </row>
    <row r="39" spans="2:6" ht="12.75">
      <c r="B39" s="2">
        <v>2003</v>
      </c>
      <c r="C39" s="2">
        <v>2004</v>
      </c>
      <c r="D39" s="2">
        <v>2005</v>
      </c>
      <c r="E39" s="2"/>
      <c r="F39" s="2"/>
    </row>
    <row r="40" spans="1:4" ht="12.75">
      <c r="A40" t="s">
        <v>114</v>
      </c>
      <c r="B40" s="2">
        <v>12800</v>
      </c>
      <c r="C40">
        <v>15160</v>
      </c>
      <c r="D40">
        <v>15920</v>
      </c>
    </row>
    <row r="41" spans="1:5" ht="12.75">
      <c r="A41" s="5" t="s">
        <v>113</v>
      </c>
      <c r="B41">
        <v>1000</v>
      </c>
      <c r="C41">
        <v>8407</v>
      </c>
      <c r="D41">
        <v>4899</v>
      </c>
      <c r="E41">
        <f>C41-D41</f>
        <v>3508</v>
      </c>
    </row>
    <row r="60" spans="1:4" ht="12.75">
      <c r="A60" t="s">
        <v>119</v>
      </c>
      <c r="B60" t="s">
        <v>118</v>
      </c>
      <c r="C60" t="s">
        <v>122</v>
      </c>
      <c r="D60" t="s">
        <v>122</v>
      </c>
    </row>
    <row r="61" spans="2:4" ht="12.75">
      <c r="B61" t="s">
        <v>120</v>
      </c>
      <c r="C61" t="s">
        <v>22</v>
      </c>
      <c r="D61" t="s">
        <v>22</v>
      </c>
    </row>
    <row r="62" spans="2:4" ht="12.75">
      <c r="B62" t="s">
        <v>121</v>
      </c>
      <c r="D62" t="s">
        <v>123</v>
      </c>
    </row>
    <row r="63" spans="1:4" ht="12.75">
      <c r="A63">
        <v>2005</v>
      </c>
      <c r="B63">
        <v>110</v>
      </c>
      <c r="C63">
        <v>954</v>
      </c>
      <c r="D63" s="2">
        <f>C63*1.094</f>
        <v>1043.6760000000002</v>
      </c>
    </row>
    <row r="64" spans="2:4" ht="12.75">
      <c r="B64">
        <v>116</v>
      </c>
      <c r="C64">
        <v>688</v>
      </c>
      <c r="D64" s="2">
        <f>C64*1.094</f>
        <v>752.672</v>
      </c>
    </row>
    <row r="65" spans="2:4" ht="12.75">
      <c r="B65">
        <v>97</v>
      </c>
      <c r="C65">
        <v>571</v>
      </c>
      <c r="D65" s="2">
        <f>C65*1.094</f>
        <v>624.6740000000001</v>
      </c>
    </row>
    <row r="66" spans="2:4" ht="12.75">
      <c r="B66">
        <v>204</v>
      </c>
      <c r="C66">
        <v>2687</v>
      </c>
      <c r="D66" s="2">
        <f>C66*1.094</f>
        <v>2939.5780000000004</v>
      </c>
    </row>
    <row r="67" spans="1:4" ht="12.75">
      <c r="A67">
        <v>2004</v>
      </c>
      <c r="B67">
        <v>93</v>
      </c>
      <c r="C67">
        <v>941</v>
      </c>
      <c r="D67">
        <f>C67</f>
        <v>941</v>
      </c>
    </row>
    <row r="68" spans="2:4" ht="12.75">
      <c r="B68">
        <v>139</v>
      </c>
      <c r="C68">
        <v>1973</v>
      </c>
      <c r="D68">
        <f>C68</f>
        <v>1973</v>
      </c>
    </row>
    <row r="69" spans="2:4" ht="12.75">
      <c r="B69">
        <v>159</v>
      </c>
      <c r="C69">
        <v>2282</v>
      </c>
      <c r="D69">
        <f>C69</f>
        <v>2282</v>
      </c>
    </row>
    <row r="70" spans="2:4" ht="12.75">
      <c r="B70">
        <v>206</v>
      </c>
      <c r="C70">
        <v>3210</v>
      </c>
      <c r="D70">
        <f>C70</f>
        <v>3210</v>
      </c>
    </row>
  </sheetData>
  <printOptions gridLines="1"/>
  <pageMargins left="0.75" right="0.38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2006-01-08T17:01:34Z</cp:lastPrinted>
  <dcterms:created xsi:type="dcterms:W3CDTF">1998-06-22T12:28:48Z</dcterms:created>
  <dcterms:modified xsi:type="dcterms:W3CDTF">2006-01-09T20:13:30Z</dcterms:modified>
  <cp:category/>
  <cp:version/>
  <cp:contentType/>
  <cp:contentStatus/>
</cp:coreProperties>
</file>